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emol\Downloads\"/>
    </mc:Choice>
  </mc:AlternateContent>
  <xr:revisionPtr revIDLastSave="0" documentId="8_{F62DDEA3-01D4-4678-85A0-2AD99BB518FB}" xr6:coauthVersionLast="47" xr6:coauthVersionMax="47" xr10:uidLastSave="{00000000-0000-0000-0000-000000000000}"/>
  <workbookProtection workbookPassword="DE4D" lockStructure="1"/>
  <bookViews>
    <workbookView xWindow="-120" yWindow="-120" windowWidth="29040" windowHeight="17640" xr2:uid="{00000000-000D-0000-FFFF-FFFF00000000}"/>
  </bookViews>
  <sheets>
    <sheet name="Qr" sheetId="1" r:id="rId1"/>
    <sheet name="BOA-KOA" sheetId="2" r:id="rId2"/>
    <sheet name="LOA" sheetId="3" r:id="rId3"/>
    <sheet name="SNV 75;10" sheetId="4" r:id="rId4"/>
  </sheets>
  <definedNames>
    <definedName name="_xlnm.Print_Area" localSheetId="1">'BOA-KOA'!$A$1:$M$37</definedName>
    <definedName name="_xlnm.Print_Area" localSheetId="2">LOA!$A$1:$M$37</definedName>
    <definedName name="_xlnm.Print_Area" localSheetId="0">Qr!$A$1:$K$38</definedName>
    <definedName name="_xlnm.Print_Area" localSheetId="3">'SNV 75;10'!$A$1:$J$41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I40" i="4" l="1"/>
  <c r="L2" i="3" l="1"/>
  <c r="L2" i="2"/>
  <c r="O9" i="2"/>
  <c r="P4" i="3" l="1"/>
  <c r="O9" i="3"/>
  <c r="O2" i="3"/>
  <c r="P2" i="3"/>
  <c r="Q2" i="3"/>
  <c r="O3" i="3"/>
  <c r="P3" i="3"/>
  <c r="O4" i="3"/>
  <c r="O5" i="3"/>
  <c r="P5" i="3"/>
  <c r="O6" i="3"/>
  <c r="P6" i="3"/>
  <c r="J13" i="1" l="1"/>
  <c r="C7" i="1"/>
  <c r="J37" i="3" l="1"/>
  <c r="G37" i="3"/>
  <c r="D37" i="3"/>
  <c r="B37" i="3"/>
  <c r="J36" i="3"/>
  <c r="G36" i="3"/>
  <c r="D36" i="3"/>
  <c r="B36" i="3"/>
  <c r="J35" i="3"/>
  <c r="B36" i="2"/>
  <c r="B37" i="2"/>
  <c r="D36" i="2"/>
  <c r="D37" i="2"/>
  <c r="G36" i="2"/>
  <c r="G37" i="2"/>
  <c r="J35" i="2"/>
  <c r="J36" i="2"/>
  <c r="J37" i="2"/>
  <c r="F14" i="3" l="1"/>
  <c r="H23" i="1"/>
  <c r="H33" i="1"/>
  <c r="L16" i="3"/>
  <c r="L20" i="3"/>
  <c r="O2" i="2"/>
  <c r="O3" i="2"/>
  <c r="O4" i="2"/>
  <c r="O5" i="2"/>
  <c r="O6" i="2"/>
  <c r="L20" i="2"/>
  <c r="P2" i="2"/>
  <c r="P3" i="2"/>
  <c r="P4" i="2"/>
  <c r="P5" i="2"/>
  <c r="P6" i="2"/>
  <c r="Q2" i="2"/>
  <c r="J33" i="1"/>
  <c r="I27" i="4"/>
  <c r="I31" i="4" s="1"/>
  <c r="H27" i="4"/>
  <c r="F14" i="2"/>
  <c r="J14" i="1" l="1"/>
  <c r="J15" i="1" s="1"/>
  <c r="L16" i="2"/>
  <c r="F13" i="2" s="1"/>
  <c r="F13" i="3"/>
  <c r="F12" i="3" l="1"/>
  <c r="Q8" i="3" s="1"/>
  <c r="B23" i="3" s="1"/>
  <c r="E23" i="3" s="1"/>
  <c r="F12" i="2" l="1"/>
  <c r="F11" i="2" s="1"/>
  <c r="D23" i="2" s="1"/>
  <c r="F11" i="3"/>
  <c r="D30" i="2" l="1"/>
  <c r="A32" i="2" s="1"/>
  <c r="E23" i="2"/>
  <c r="Q10" i="3"/>
  <c r="Q9" i="3"/>
  <c r="D23" i="3" l="1"/>
  <c r="D30" i="3" s="1"/>
  <c r="G31" i="3" s="1"/>
  <c r="A3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Fredrik Molander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Standardvärde: 2 år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Exempel på andra vanliga återkomstider:</t>
        </r>
        <r>
          <rPr>
            <sz val="9"/>
            <color indexed="81"/>
            <rFont val="Tahoma"/>
            <family val="2"/>
          </rPr>
          <t xml:space="preserve">
Ej instängt område utanför citybebyggelse, 1 år
Ej instängt område inom citybebyggelse, 2 år
Instängt område utanför citybebyggelse, 5 år
Instängt område inom citybebyggelse, 10 år
</t>
        </r>
        <r>
          <rPr>
            <b/>
            <sz val="9"/>
            <color indexed="81"/>
            <rFont val="Tahoma"/>
            <family val="2"/>
          </rPr>
          <t>Annan valfri återkomsttid kan väljas, bedöms i enskilt fall.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Standardvärde: 10 minuter
</t>
        </r>
        <r>
          <rPr>
            <sz val="9"/>
            <color indexed="81"/>
            <rFont val="Tahoma"/>
            <family val="2"/>
          </rPr>
          <t>Annan valfri varaktighet kan väljas, bedöms i enskilt fall.</t>
        </r>
      </text>
    </comment>
    <comment ref="C5" authorId="0" shapeId="0" xr:uid="{00000000-0006-0000-0000-000003000000}">
      <text>
        <r>
          <rPr>
            <sz val="9"/>
            <color indexed="81"/>
            <rFont val="Tahoma"/>
            <family val="2"/>
          </rPr>
          <t>Beroende på regnets varaktighet.
Välj minst 1,25 för regn upp t.o.m. 60 minuter.
Välj minst 1,20 för regn över 60 minuter (upp till ett dygn).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Fredrik Molander</author>
  </authors>
  <commentList>
    <comment ref="F15" authorId="0" shapeId="0" xr:uid="{00000000-0006-0000-0100-000001000000}">
      <text>
        <r>
          <rPr>
            <sz val="9"/>
            <color indexed="81"/>
            <rFont val="Tahoma"/>
            <family val="2"/>
          </rPr>
          <t>Använd faktor 1,5 för klass I
och faktor 2,0 för klass II
Om inte belägg för annat finns.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Fredrik Molander</author>
  </authors>
  <commentList>
    <comment ref="F15" authorId="0" shapeId="0" xr:uid="{00000000-0006-0000-0200-000001000000}">
      <text>
        <r>
          <rPr>
            <sz val="9"/>
            <color indexed="81"/>
            <rFont val="Tahoma"/>
            <family val="2"/>
          </rPr>
          <t>Använd faktor 1,5 för klass I
och faktor 2,0 för klass II
Om inte belägg för annat finns.</t>
        </r>
      </text>
    </comment>
    <comment ref="G2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Kan även användas före std. LOA om slammängden är större än den man normalt kan förvänta sig.</t>
        </r>
      </text>
    </comment>
  </commentList>
</comments>
</file>

<file path=xl/sharedStrings.xml><?xml version="1.0" encoding="utf-8"?>
<sst xmlns="http://schemas.openxmlformats.org/spreadsheetml/2006/main" count="304" uniqueCount="174">
  <si>
    <t>Ange värden i gula fält. Resultatet visas i rosa fält.</t>
  </si>
  <si>
    <t>Återkomsttid</t>
  </si>
  <si>
    <t>år</t>
  </si>
  <si>
    <t>minuter</t>
  </si>
  <si>
    <t>Regnintensitet</t>
  </si>
  <si>
    <t>l/s x ha</t>
  </si>
  <si>
    <t>Bebyggelsetyp</t>
  </si>
  <si>
    <t>Avrinningskoeff.</t>
  </si>
  <si>
    <t>Aktuell yta</t>
  </si>
  <si>
    <t>flacka områden</t>
  </si>
  <si>
    <t>kvm</t>
  </si>
  <si>
    <t>kuperade områden</t>
  </si>
  <si>
    <t>Slutet byggnadssätt, ingen vegetation</t>
  </si>
  <si>
    <t>Slutet byggnadssätt, planterade gårdar och industriområden</t>
  </si>
  <si>
    <t>Öppet byggnadssätt (ferfamiljshus)</t>
  </si>
  <si>
    <t>Radhus, kedjehus</t>
  </si>
  <si>
    <r>
      <t>Villor, tomter &lt;1000m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(0,1 hektar)</t>
    </r>
  </si>
  <si>
    <r>
      <t>Villor, tomter &gt;1000m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(0,1 hektar)</t>
    </r>
  </si>
  <si>
    <t>Typ av yta</t>
  </si>
  <si>
    <t>Totalyta (kvm)</t>
  </si>
  <si>
    <t>Avrinningskoeff. (φ=)</t>
  </si>
  <si>
    <t>Tak</t>
  </si>
  <si>
    <r>
      <t>Q</t>
    </r>
    <r>
      <rPr>
        <b/>
        <vertAlign val="subscript"/>
        <sz val="10"/>
        <rFont val="Times New Roman"/>
        <family val="1"/>
      </rPr>
      <t>r</t>
    </r>
    <r>
      <rPr>
        <b/>
        <sz val="10"/>
        <rFont val="Times New Roman"/>
        <family val="1"/>
      </rPr>
      <t>=</t>
    </r>
  </si>
  <si>
    <t>l/s</t>
  </si>
  <si>
    <r>
      <t xml:space="preserve">Under tak </t>
    </r>
    <r>
      <rPr>
        <i/>
        <sz val="10"/>
        <rFont val="Times New Roman"/>
        <family val="1"/>
      </rPr>
      <t>(enl. SNV 1975:10)</t>
    </r>
  </si>
  <si>
    <t>Betong- och asfaltyta, berg i dagen med stark lutning</t>
  </si>
  <si>
    <t>Ange värde för</t>
  </si>
  <si>
    <t>Stensatt yta med grusfogar</t>
  </si>
  <si>
    <r>
      <t>Q</t>
    </r>
    <r>
      <rPr>
        <vertAlign val="subscript"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direkt</t>
    </r>
  </si>
  <si>
    <t>Grusväg, starkt lutande bergigt parkområde utan nämnvärd vegetation</t>
  </si>
  <si>
    <t>Finns det ett värde i fältet ovan,</t>
  </si>
  <si>
    <t>Berg i dagen i inte alltför stark lutning</t>
  </si>
  <si>
    <t xml:space="preserve"> används det för beräkningen.</t>
  </si>
  <si>
    <t>Grusplan och grusad gång, obebyggd kvartersmark</t>
  </si>
  <si>
    <t>Park med rik vegetation samt kuperad bergig skogsmark</t>
  </si>
  <si>
    <t>Odlad mark, gräsyta, ängsmark etc</t>
  </si>
  <si>
    <t>Flack, tätbevuxen skogsmark</t>
  </si>
  <si>
    <t>ALFA RÖR AB</t>
  </si>
  <si>
    <t>Med reservation för eventuella fel.</t>
  </si>
  <si>
    <t>Namn</t>
  </si>
  <si>
    <t>Företag</t>
  </si>
  <si>
    <t>Telefon</t>
  </si>
  <si>
    <t>Objekt</t>
  </si>
  <si>
    <t>Vår Ref.</t>
  </si>
  <si>
    <t>Er Ref.</t>
  </si>
  <si>
    <t>Datum</t>
  </si>
  <si>
    <t>Dimensionering av slam- och oljeavskiljare</t>
  </si>
  <si>
    <t>Dimensionerande flöde:</t>
  </si>
  <si>
    <t>-</t>
  </si>
  <si>
    <r>
      <t>a)</t>
    </r>
    <r>
      <rPr>
        <sz val="10"/>
        <rFont val="Times New Roman"/>
        <family val="1"/>
      </rPr>
      <t xml:space="preserve"> rening av spillvatten från fordonstvättar, verkstäder och industriella platser</t>
    </r>
  </si>
  <si>
    <r>
      <t>b)</t>
    </r>
    <r>
      <rPr>
        <sz val="10"/>
        <rFont val="Times New Roman"/>
        <family val="1"/>
      </rPr>
      <t xml:space="preserve"> rening av dagvatten från ytor såsom parkeringsplatser, vägar och bilskrotar</t>
    </r>
  </si>
  <si>
    <r>
      <t>c)</t>
    </r>
    <r>
      <rPr>
        <sz val="10"/>
        <rFont val="Times New Roman"/>
        <family val="1"/>
      </rPr>
      <t xml:space="preserve"> uppsamling av bensin/oljespill från begränsade ytor, påfyllningsplatser och garage</t>
    </r>
  </si>
  <si>
    <r>
      <t>NS = (Q</t>
    </r>
    <r>
      <rPr>
        <b/>
        <vertAlign val="subscript"/>
        <sz val="10"/>
        <rFont val="Times New Roman"/>
        <family val="1"/>
      </rPr>
      <t>r</t>
    </r>
    <r>
      <rPr>
        <b/>
        <sz val="10"/>
        <rFont val="Times New Roman"/>
        <family val="1"/>
      </rPr>
      <t xml:space="preserve"> + f</t>
    </r>
    <r>
      <rPr>
        <b/>
        <vertAlign val="subscript"/>
        <sz val="10"/>
        <rFont val="Times New Roman"/>
        <family val="1"/>
      </rPr>
      <t>x</t>
    </r>
    <r>
      <rPr>
        <b/>
        <sz val="10"/>
        <rFont val="Times New Roman"/>
        <family val="1"/>
      </rPr>
      <t xml:space="preserve"> x Q</t>
    </r>
    <r>
      <rPr>
        <b/>
        <vertAlign val="subscript"/>
        <sz val="10"/>
        <rFont val="Times New Roman"/>
        <family val="1"/>
      </rPr>
      <t>s</t>
    </r>
    <r>
      <rPr>
        <b/>
        <sz val="10"/>
        <rFont val="Times New Roman"/>
        <family val="1"/>
      </rPr>
      <t>) x f</t>
    </r>
    <r>
      <rPr>
        <b/>
        <vertAlign val="subscript"/>
        <sz val="10"/>
        <rFont val="Times New Roman"/>
        <family val="1"/>
      </rPr>
      <t>d</t>
    </r>
    <r>
      <rPr>
        <b/>
        <sz val="10"/>
        <rFont val="Times New Roman"/>
        <family val="1"/>
      </rPr>
      <t xml:space="preserve"> </t>
    </r>
  </si>
  <si>
    <r>
      <t>- Dagvattenföde (Q</t>
    </r>
    <r>
      <rPr>
        <vertAlign val="subscript"/>
        <sz val="10"/>
        <rFont val="Times New Roman"/>
        <family val="1"/>
      </rPr>
      <t>r</t>
    </r>
    <r>
      <rPr>
        <sz val="10"/>
        <rFont val="Times New Roman"/>
        <family val="1"/>
      </rPr>
      <t>) beräknas från aktuella</t>
    </r>
  </si>
  <si>
    <t>nederbördsdata och avrinningskoefficienter.</t>
  </si>
  <si>
    <t>NS = Nominell storlek</t>
  </si>
  <si>
    <t>NS</t>
  </si>
  <si>
    <r>
      <t>- Spillvattenflöde (Q</t>
    </r>
    <r>
      <rPr>
        <vertAlign val="subscript"/>
        <sz val="10"/>
        <rFont val="Times New Roman"/>
        <family val="1"/>
      </rPr>
      <t>s</t>
    </r>
    <r>
      <rPr>
        <sz val="10"/>
        <rFont val="Times New Roman"/>
        <family val="1"/>
      </rPr>
      <t>) är summan av tillflöden från</t>
    </r>
  </si>
  <si>
    <r>
      <t>Q</t>
    </r>
    <r>
      <rPr>
        <vertAlign val="subscript"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= summa dagvattenflöde, l/s, (Hämtas från fliken "Qr")</t>
    </r>
  </si>
  <si>
    <t>tappkranar, fordonstvättmaskiner och högtrycksanläggningar.</t>
  </si>
  <si>
    <r>
      <t>Q</t>
    </r>
    <r>
      <rPr>
        <vertAlign val="subscript"/>
        <sz val="10"/>
        <rFont val="Times New Roman"/>
        <family val="1"/>
      </rPr>
      <t>s</t>
    </r>
    <r>
      <rPr>
        <sz val="10"/>
        <rFont val="Times New Roman"/>
        <family val="1"/>
      </rPr>
      <t xml:space="preserve"> = summa spillvattenflöde, l/s</t>
    </r>
  </si>
  <si>
    <t>- För tvätt av lastbilar, bandfordon och traktorer krävs</t>
  </si>
  <si>
    <t>Ange kategori</t>
  </si>
  <si>
    <r>
      <t>Svårighetsfaktorn f</t>
    </r>
    <r>
      <rPr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>=</t>
    </r>
  </si>
  <si>
    <t>särskild utredning.</t>
  </si>
  <si>
    <r>
      <t>f</t>
    </r>
    <r>
      <rPr>
        <vertAlign val="subscript"/>
        <sz val="10"/>
        <rFont val="Times New Roman"/>
        <family val="1"/>
      </rPr>
      <t>d</t>
    </r>
    <r>
      <rPr>
        <sz val="10"/>
        <rFont val="Times New Roman"/>
        <family val="1"/>
      </rPr>
      <t xml:space="preserve"> för</t>
    </r>
  </si>
  <si>
    <r>
      <t>1,0 för d ≤ 0,85 g/cm</t>
    </r>
    <r>
      <rPr>
        <vertAlign val="superscript"/>
        <sz val="10"/>
        <rFont val="Times New Roman"/>
        <family val="1"/>
      </rPr>
      <t>3</t>
    </r>
  </si>
  <si>
    <t>Klass I *</t>
  </si>
  <si>
    <t>DN 15</t>
  </si>
  <si>
    <t>DN 20</t>
  </si>
  <si>
    <t>DN 25</t>
  </si>
  <si>
    <t>Antal:</t>
  </si>
  <si>
    <t>Klass II *</t>
  </si>
  <si>
    <t>Antal automatiska fordonstvättmaskiner:</t>
  </si>
  <si>
    <t>Antal högtrycksanläggningar:</t>
  </si>
  <si>
    <t>Val av sand- och slamavskiljare:</t>
  </si>
  <si>
    <t>KOA: max 5mg olja / liter utgående vatten.</t>
  </si>
  <si>
    <t>BOA: max 100mg olja / liter utgående vatten.</t>
  </si>
  <si>
    <t>Ange förväntad slammängd:</t>
  </si>
  <si>
    <t>Ange vilken klass ("I" eller "II") som LOA och</t>
  </si>
  <si>
    <t>SA ska dimensioneras för:</t>
  </si>
  <si>
    <t>LOA</t>
  </si>
  <si>
    <t>Klass I</t>
  </si>
  <si>
    <t>Klass II</t>
  </si>
  <si>
    <t>Vattenförbrukning i liter per tvätt</t>
  </si>
  <si>
    <t>Slamvolym i liter per tvättat fordon</t>
  </si>
  <si>
    <t>Fordonstyp</t>
  </si>
  <si>
    <t>Lågtryck</t>
  </si>
  <si>
    <t>Medeltryck</t>
  </si>
  <si>
    <t>Högtryck</t>
  </si>
  <si>
    <t>400-600 kPa</t>
  </si>
  <si>
    <t>600-2000 kPa</t>
  </si>
  <si>
    <t>2000- kPa</t>
  </si>
  <si>
    <t>Personbil i tvätthall</t>
  </si>
  <si>
    <t>Personbil i tvättbox</t>
  </si>
  <si>
    <t>Lastbil för normalt icke smutsande gods</t>
  </si>
  <si>
    <t>Åkerifordon, tankbilar, bussar och specialfordon</t>
  </si>
  <si>
    <t>m</t>
  </si>
  <si>
    <t>a, Automatisk tvätt</t>
  </si>
  <si>
    <t>b, Manuell tvätt</t>
  </si>
  <si>
    <t>Släpvagn för lastbil, en axel</t>
  </si>
  <si>
    <t>Släpvagn för lastbil, två eller fler axlar</t>
  </si>
  <si>
    <t>Personbil avvaxning</t>
  </si>
  <si>
    <t>Personbil reparation</t>
  </si>
  <si>
    <t>Lastbil reparation</t>
  </si>
  <si>
    <t>Allmän bilservice vid begränsad verkstadsrörelse</t>
  </si>
  <si>
    <t>Antal tvättar per timme</t>
  </si>
  <si>
    <t>kbm</t>
  </si>
  <si>
    <t>SO</t>
  </si>
  <si>
    <t>Flöde</t>
  </si>
  <si>
    <t>Slammängd</t>
  </si>
  <si>
    <t>l / s</t>
  </si>
  <si>
    <t>l / tim</t>
  </si>
  <si>
    <t>timmar / dygn</t>
  </si>
  <si>
    <t>dagar i drift</t>
  </si>
  <si>
    <t>Erfoderlig slamvol.</t>
  </si>
  <si>
    <t>RO</t>
  </si>
  <si>
    <t>Yta utan tak</t>
  </si>
  <si>
    <t>Yta under tak</t>
  </si>
  <si>
    <t>"first flush" det görs i rutan som är avsedd för detta.</t>
  </si>
  <si>
    <r>
      <t>OBS! Q</t>
    </r>
    <r>
      <rPr>
        <i/>
        <vertAlign val="subscript"/>
        <sz val="10"/>
        <rFont val="Times New Roman"/>
        <family val="1"/>
      </rPr>
      <t>r</t>
    </r>
    <r>
      <rPr>
        <i/>
        <sz val="10"/>
        <rFont val="Times New Roman"/>
        <family val="1"/>
      </rPr>
      <t xml:space="preserve"> direkt ska inte vara reducerat för</t>
    </r>
  </si>
  <si>
    <r>
      <t>Vätskans densitetsfaktor f</t>
    </r>
    <r>
      <rPr>
        <vertAlign val="subscript"/>
        <sz val="10"/>
        <rFont val="Times New Roman"/>
        <family val="1"/>
      </rPr>
      <t>d</t>
    </r>
    <r>
      <rPr>
        <sz val="10"/>
        <rFont val="Times New Roman"/>
        <family val="1"/>
      </rPr>
      <t>=</t>
    </r>
  </si>
  <si>
    <r>
      <t>Flöden från tappkranar (Q</t>
    </r>
    <r>
      <rPr>
        <b/>
        <vertAlign val="subscript"/>
        <sz val="10"/>
        <rFont val="Times New Roman"/>
        <family val="1"/>
      </rPr>
      <t>s</t>
    </r>
    <r>
      <rPr>
        <b/>
        <sz val="10"/>
        <rFont val="Times New Roman"/>
        <family val="1"/>
      </rPr>
      <t>):</t>
    </r>
  </si>
  <si>
    <r>
      <t>Flöden från tvätthallar (Q</t>
    </r>
    <r>
      <rPr>
        <b/>
        <vertAlign val="subscript"/>
        <sz val="10"/>
        <rFont val="Times New Roman"/>
        <family val="1"/>
      </rPr>
      <t>s</t>
    </r>
    <r>
      <rPr>
        <b/>
        <sz val="10"/>
        <rFont val="Times New Roman"/>
        <family val="1"/>
      </rPr>
      <t>):</t>
    </r>
  </si>
  <si>
    <r>
      <t>Q</t>
    </r>
    <r>
      <rPr>
        <b/>
        <vertAlign val="subscript"/>
        <sz val="10"/>
        <rFont val="Times New Roman"/>
        <family val="1"/>
      </rPr>
      <t>s</t>
    </r>
    <r>
      <rPr>
        <b/>
        <sz val="10"/>
        <rFont val="Times New Roman"/>
        <family val="1"/>
      </rPr>
      <t xml:space="preserve"> övrigt:</t>
    </r>
  </si>
  <si>
    <t>Val av sand- och slamavskiljare: (Gäller ej för std. LOA med slamfång under.)</t>
  </si>
  <si>
    <t>Liten</t>
  </si>
  <si>
    <t>i=</t>
  </si>
  <si>
    <t>First flush</t>
  </si>
  <si>
    <r>
      <t>1,5 för d &gt;0,85 - 0,90 g/cm</t>
    </r>
    <r>
      <rPr>
        <vertAlign val="superscript"/>
        <sz val="10"/>
        <rFont val="Times New Roman"/>
        <family val="1"/>
      </rPr>
      <t>3</t>
    </r>
  </si>
  <si>
    <r>
      <t>2,0 för d &gt;0,90 - 0,95 g/cm</t>
    </r>
    <r>
      <rPr>
        <vertAlign val="superscript"/>
        <sz val="10"/>
        <rFont val="Times New Roman"/>
        <family val="1"/>
      </rPr>
      <t>3</t>
    </r>
  </si>
  <si>
    <r>
      <t>2,0 för d &gt;0,85 - 0,90 g/cm</t>
    </r>
    <r>
      <rPr>
        <vertAlign val="superscript"/>
        <sz val="10"/>
        <rFont val="Times New Roman"/>
        <family val="1"/>
      </rPr>
      <t>3</t>
    </r>
  </si>
  <si>
    <r>
      <t>3,0 för d &gt;0,90 - 0,95 g/cm</t>
    </r>
    <r>
      <rPr>
        <vertAlign val="superscript"/>
        <sz val="10"/>
        <rFont val="Times New Roman"/>
        <family val="1"/>
      </rPr>
      <t>3</t>
    </r>
  </si>
  <si>
    <t>a)</t>
  </si>
  <si>
    <t>Reningsgrader vid provning enl. SS-EN 858:</t>
  </si>
  <si>
    <r>
      <t xml:space="preserve">Oljeavskiljare kan enligt SS-EN 858-2 indelas i tre </t>
    </r>
    <r>
      <rPr>
        <b/>
        <sz val="10"/>
        <rFont val="Times New Roman"/>
        <family val="1"/>
      </rPr>
      <t>kategorier</t>
    </r>
    <r>
      <rPr>
        <sz val="10"/>
        <rFont val="Times New Roman"/>
        <family val="1"/>
      </rPr>
      <t xml:space="preserve"> när det gäller användningsområdet:</t>
    </r>
  </si>
  <si>
    <t>Fyll i numrerade fält, data kopieras till övriga flikar.</t>
  </si>
  <si>
    <t>Regnets varaktighet</t>
  </si>
  <si>
    <t>Klimatfaktor</t>
  </si>
  <si>
    <r>
      <t>Hur många % av Q</t>
    </r>
    <r>
      <rPr>
        <vertAlign val="subscript"/>
        <sz val="10"/>
        <rFont val="Times New Roman"/>
        <family val="1"/>
      </rPr>
      <t xml:space="preserve">r </t>
    </r>
    <r>
      <rPr>
        <sz val="10"/>
        <rFont val="Times New Roman"/>
        <family val="1"/>
      </rPr>
      <t>ska gå till avskiljaren?</t>
    </r>
  </si>
  <si>
    <t>%</t>
  </si>
  <si>
    <t>Naturvårdsverket anser att 10% av Qr är brukligt vid first flush.</t>
  </si>
  <si>
    <t>Vid behov kan intensiteten anges manuellt. Observera att formeln då försvinner.</t>
  </si>
  <si>
    <r>
      <t>Ska Q</t>
    </r>
    <r>
      <rPr>
        <vertAlign val="subscript"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reduceras?</t>
    </r>
  </si>
  <si>
    <t>Välj slamavskiljare med minst</t>
  </si>
  <si>
    <r>
      <t>m</t>
    </r>
    <r>
      <rPr>
        <b/>
        <vertAlign val="superscript"/>
        <sz val="10"/>
        <rFont val="Times New Roman"/>
        <family val="1"/>
      </rPr>
      <t>3</t>
    </r>
    <r>
      <rPr>
        <b/>
        <sz val="10"/>
        <rFont val="Times New Roman"/>
        <family val="1"/>
      </rPr>
      <t xml:space="preserve"> våtvolym.</t>
    </r>
  </si>
  <si>
    <r>
      <t xml:space="preserve">Liten: </t>
    </r>
    <r>
      <rPr>
        <sz val="10"/>
        <rFont val="Times New Roman"/>
        <family val="1"/>
      </rPr>
      <t>Vägar, parkeringsplatser och processvatten med lågt slaminnehåll.</t>
    </r>
  </si>
  <si>
    <r>
      <t xml:space="preserve">Mellan: </t>
    </r>
    <r>
      <rPr>
        <sz val="10"/>
        <rFont val="Times New Roman"/>
        <family val="1"/>
      </rPr>
      <t>Bensinstationer, handtvättplatser, busstvättar, verkstäder och garage.</t>
    </r>
  </si>
  <si>
    <r>
      <t>Stor</t>
    </r>
    <r>
      <rPr>
        <b/>
        <sz val="10"/>
        <rFont val="Times New Roman"/>
        <family val="1"/>
      </rPr>
      <t>:</t>
    </r>
    <r>
      <rPr>
        <sz val="10"/>
        <rFont val="Times New Roman"/>
        <family val="1"/>
      </rPr>
      <t xml:space="preserve"> Automatiska fordonstvättar, tvätt för lastbilar och byggfordon.</t>
    </r>
  </si>
  <si>
    <t>(KOAI integrerat slamfång, volym enl. nedan.)</t>
  </si>
  <si>
    <t>* Klass I =&gt; KOA / KOAI, klass II =&gt; BOA</t>
  </si>
  <si>
    <t>Medeldrifttid</t>
  </si>
  <si>
    <t>Tömningsintervall</t>
  </si>
  <si>
    <t>b)</t>
  </si>
  <si>
    <t>Mellan</t>
  </si>
  <si>
    <t>med NS</t>
  </si>
  <si>
    <t>BOA, KOA eller KOAI</t>
  </si>
  <si>
    <t>Ange önskad DN på SA:</t>
  </si>
  <si>
    <t>Höjd inv. botten till VG:</t>
  </si>
  <si>
    <t>Beräkning enligt Svenskt Vatten P110.</t>
  </si>
  <si>
    <r>
      <t>Dimensionering dagvattenflöde, Q</t>
    </r>
    <r>
      <rPr>
        <b/>
        <vertAlign val="subscript"/>
        <sz val="10"/>
        <rFont val="Times New Roman"/>
        <family val="1"/>
      </rPr>
      <t>r</t>
    </r>
  </si>
  <si>
    <t>Beräkning enligt SS-EN 858-2.</t>
  </si>
  <si>
    <t>Dimensionering av slam- och oljeavskiljare enligt SNV 1975:10</t>
  </si>
  <si>
    <t>Avrinningskoefficienter - ytor. (1 ha = 10 000 kvm)</t>
  </si>
  <si>
    <t>Avrinningskoefficienter - bebyggelse. (1 ha = 10 000 kvm)</t>
  </si>
  <si>
    <t>Dok.ver. 2.0</t>
  </si>
  <si>
    <t>G</t>
  </si>
  <si>
    <t>H</t>
  </si>
  <si>
    <t>J</t>
  </si>
  <si>
    <t>K</t>
  </si>
  <si>
    <t>I</t>
  </si>
  <si>
    <t>D</t>
  </si>
  <si>
    <t>U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</si>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</sst>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2" x14ac:knownFonts="1">
    <font>
      <sz val="10"/>
      <name val="Times New Roman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indexed="22"/>
      <name val="Times New Roman"/>
      <family val="1"/>
    </font>
    <font>
      <u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u/>
      <sz val="10"/>
      <name val="Arial"/>
      <family val="2"/>
    </font>
    <font>
      <i/>
      <vertAlign val="subscript"/>
      <sz val="10"/>
      <name val="Times New Roman"/>
      <family val="1"/>
    </font>
    <font>
      <b/>
      <sz val="9"/>
      <color indexed="81"/>
      <name val="Tahoma"/>
      <family val="2"/>
    </font>
    <font>
      <sz val="8"/>
      <color rgb="FF000000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b/>
      <vertAlign val="superscript"/>
      <sz val="10"/>
      <name val="Times New Roman"/>
      <family val="1"/>
    </font>
    <font>
      <sz val="10"/>
      <color theme="0" tint="-0.3499862666707357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1" xfId="0" applyFont="1" applyBorder="1" applyProtection="1"/>
    <xf numFmtId="0" fontId="3" fillId="0" borderId="2" xfId="0" applyFont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3" fillId="0" borderId="3" xfId="0" applyFont="1" applyBorder="1" applyProtection="1"/>
    <xf numFmtId="0" fontId="3" fillId="0" borderId="0" xfId="0" applyFont="1" applyAlignment="1" applyProtection="1">
      <alignment horizontal="center"/>
    </xf>
    <xf numFmtId="0" fontId="3" fillId="0" borderId="4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6" xfId="0" applyFont="1" applyBorder="1" applyProtection="1"/>
    <xf numFmtId="0" fontId="1" fillId="0" borderId="3" xfId="0" applyFont="1" applyBorder="1" applyProtection="1"/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2" fontId="3" fillId="0" borderId="9" xfId="0" applyNumberFormat="1" applyFont="1" applyBorder="1" applyAlignment="1" applyProtection="1">
      <alignment horizontal="center"/>
    </xf>
    <xf numFmtId="3" fontId="3" fillId="2" borderId="9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3" fontId="3" fillId="2" borderId="8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3" fontId="3" fillId="3" borderId="0" xfId="0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left"/>
    </xf>
    <xf numFmtId="2" fontId="3" fillId="3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/>
    </xf>
    <xf numFmtId="0" fontId="1" fillId="0" borderId="4" xfId="0" applyFont="1" applyBorder="1" applyProtection="1"/>
    <xf numFmtId="2" fontId="3" fillId="0" borderId="0" xfId="0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2" fontId="3" fillId="0" borderId="2" xfId="0" applyNumberFormat="1" applyFont="1" applyFill="1" applyBorder="1" applyAlignment="1" applyProtection="1">
      <alignment horizontal="center"/>
    </xf>
    <xf numFmtId="0" fontId="3" fillId="0" borderId="10" xfId="0" applyFont="1" applyBorder="1" applyProtection="1"/>
    <xf numFmtId="2" fontId="3" fillId="0" borderId="3" xfId="0" applyNumberFormat="1" applyFont="1" applyFill="1" applyBorder="1" applyAlignment="1" applyProtection="1">
      <alignment horizontal="center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 applyProtection="1">
      <alignment horizontal="center"/>
    </xf>
    <xf numFmtId="0" fontId="3" fillId="0" borderId="12" xfId="0" applyFont="1" applyBorder="1" applyProtection="1"/>
    <xf numFmtId="2" fontId="3" fillId="0" borderId="9" xfId="0" applyNumberFormat="1" applyFont="1" applyFill="1" applyBorder="1" applyAlignment="1" applyProtection="1">
      <alignment horizontal="center"/>
    </xf>
    <xf numFmtId="2" fontId="3" fillId="0" borderId="8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right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Protection="1"/>
    <xf numFmtId="0" fontId="3" fillId="0" borderId="15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Fill="1" applyBorder="1" applyProtection="1"/>
    <xf numFmtId="0" fontId="9" fillId="0" borderId="3" xfId="0" applyFont="1" applyBorder="1" applyProtection="1"/>
    <xf numFmtId="0" fontId="1" fillId="0" borderId="0" xfId="0" applyFont="1" applyBorder="1" applyProtection="1"/>
    <xf numFmtId="0" fontId="3" fillId="0" borderId="0" xfId="0" quotePrefix="1" applyFont="1" applyBorder="1" applyProtection="1"/>
    <xf numFmtId="0" fontId="1" fillId="0" borderId="6" xfId="0" applyFont="1" applyBorder="1" applyAlignment="1" applyProtection="1">
      <alignment horizontal="center"/>
    </xf>
    <xf numFmtId="164" fontId="1" fillId="3" borderId="11" xfId="0" applyNumberFormat="1" applyFont="1" applyFill="1" applyBorder="1" applyAlignment="1" applyProtection="1">
      <alignment horizontal="center"/>
    </xf>
    <xf numFmtId="164" fontId="3" fillId="3" borderId="11" xfId="0" applyNumberFormat="1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4" xfId="0" applyFont="1" applyBorder="1" applyProtection="1"/>
    <xf numFmtId="0" fontId="3" fillId="0" borderId="15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left"/>
    </xf>
    <xf numFmtId="0" fontId="1" fillId="0" borderId="5" xfId="0" applyFont="1" applyBorder="1" applyProtection="1"/>
    <xf numFmtId="0" fontId="1" fillId="0" borderId="6" xfId="0" applyFont="1" applyBorder="1" applyAlignment="1" applyProtection="1">
      <alignment horizontal="right"/>
    </xf>
    <xf numFmtId="0" fontId="10" fillId="0" borderId="5" xfId="0" applyFont="1" applyBorder="1" applyProtection="1"/>
    <xf numFmtId="0" fontId="8" fillId="0" borderId="0" xfId="0" applyFont="1" applyAlignment="1" applyProtection="1">
      <alignment horizontal="center"/>
    </xf>
    <xf numFmtId="3" fontId="8" fillId="0" borderId="0" xfId="0" applyNumberFormat="1" applyFont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3" fillId="0" borderId="1" xfId="0" applyFont="1" applyBorder="1" applyProtection="1"/>
    <xf numFmtId="0" fontId="11" fillId="0" borderId="0" xfId="0" applyFont="1" applyBorder="1" applyProtection="1"/>
    <xf numFmtId="0" fontId="11" fillId="0" borderId="4" xfId="0" applyFont="1" applyBorder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3" fontId="0" fillId="2" borderId="11" xfId="0" applyNumberFormat="1" applyFill="1" applyBorder="1" applyAlignment="1" applyProtection="1">
      <alignment horizontal="center"/>
      <protection locked="0"/>
    </xf>
    <xf numFmtId="164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right"/>
    </xf>
    <xf numFmtId="0" fontId="8" fillId="0" borderId="13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right"/>
    </xf>
    <xf numFmtId="0" fontId="8" fillId="0" borderId="2" xfId="0" applyFont="1" applyFill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0" xfId="0" applyFont="1" applyAlignment="1" applyProtection="1">
      <alignment horizontal="center"/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3" fontId="3" fillId="2" borderId="1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right"/>
    </xf>
    <xf numFmtId="2" fontId="3" fillId="2" borderId="0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 applyProtection="1"/>
    <xf numFmtId="0" fontId="3" fillId="0" borderId="0" xfId="0" applyFont="1" applyAlignment="1" applyProtection="1"/>
    <xf numFmtId="0" fontId="5" fillId="0" borderId="0" xfId="0" applyFont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5" fillId="0" borderId="6" xfId="0" applyFont="1" applyBorder="1" applyProtection="1"/>
    <xf numFmtId="0" fontId="1" fillId="0" borderId="6" xfId="0" applyFont="1" applyFill="1" applyBorder="1" applyAlignment="1" applyProtection="1"/>
    <xf numFmtId="164" fontId="1" fillId="3" borderId="6" xfId="0" applyNumberFormat="1" applyFont="1" applyFill="1" applyBorder="1" applyAlignment="1" applyProtection="1">
      <alignment horizontal="center"/>
    </xf>
    <xf numFmtId="1" fontId="1" fillId="3" borderId="0" xfId="0" applyNumberFormat="1" applyFon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right"/>
    </xf>
    <xf numFmtId="2" fontId="3" fillId="0" borderId="8" xfId="0" applyNumberFormat="1" applyFont="1" applyBorder="1" applyAlignment="1" applyProtection="1">
      <alignment horizontal="center"/>
    </xf>
    <xf numFmtId="0" fontId="11" fillId="0" borderId="6" xfId="0" applyFont="1" applyBorder="1" applyProtection="1"/>
    <xf numFmtId="0" fontId="11" fillId="0" borderId="12" xfId="0" applyFont="1" applyBorder="1" applyProtection="1"/>
    <xf numFmtId="0" fontId="3" fillId="0" borderId="11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2" xfId="0" applyBorder="1" applyProtection="1"/>
    <xf numFmtId="0" fontId="0" fillId="0" borderId="10" xfId="0" applyBorder="1" applyProtection="1"/>
    <xf numFmtId="0" fontId="0" fillId="0" borderId="1" xfId="0" applyBorder="1" applyProtection="1"/>
    <xf numFmtId="0" fontId="13" fillId="0" borderId="2" xfId="0" applyFont="1" applyBorder="1" applyAlignment="1" applyProtection="1">
      <alignment horizontal="center"/>
    </xf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0" fillId="0" borderId="12" xfId="0" applyBorder="1" applyProtection="1"/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0" xfId="0" applyBorder="1" applyProtection="1"/>
    <xf numFmtId="3" fontId="0" fillId="0" borderId="3" xfId="0" applyNumberFormat="1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3" fontId="0" fillId="0" borderId="4" xfId="0" applyNumberFormat="1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3" fontId="0" fillId="0" borderId="5" xfId="0" applyNumberFormat="1" applyBorder="1" applyAlignment="1" applyProtection="1">
      <alignment horizontal="center"/>
    </xf>
    <xf numFmtId="3" fontId="0" fillId="0" borderId="6" xfId="0" applyNumberFormat="1" applyBorder="1" applyAlignment="1" applyProtection="1">
      <alignment horizontal="center"/>
    </xf>
    <xf numFmtId="3" fontId="0" fillId="0" borderId="12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14" fillId="0" borderId="0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2" fontId="13" fillId="3" borderId="0" xfId="0" applyNumberFormat="1" applyFont="1" applyFill="1" applyAlignment="1" applyProtection="1">
      <alignment horizontal="center"/>
    </xf>
    <xf numFmtId="164" fontId="13" fillId="3" borderId="0" xfId="0" applyNumberFormat="1" applyFont="1" applyFill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2" fontId="13" fillId="3" borderId="0" xfId="0" applyNumberFormat="1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/>
    <xf numFmtId="164" fontId="1" fillId="3" borderId="7" xfId="0" applyNumberFormat="1" applyFont="1" applyFill="1" applyBorder="1" applyAlignment="1" applyProtection="1">
      <alignment horizontal="center"/>
    </xf>
    <xf numFmtId="0" fontId="3" fillId="0" borderId="15" xfId="0" applyFont="1" applyBorder="1" applyProtection="1"/>
    <xf numFmtId="2" fontId="3" fillId="3" borderId="11" xfId="0" applyNumberFormat="1" applyFont="1" applyFill="1" applyBorder="1" applyAlignment="1" applyProtection="1">
      <alignment horizontal="center"/>
    </xf>
    <xf numFmtId="0" fontId="1" fillId="0" borderId="6" xfId="0" applyFont="1" applyBorder="1" applyProtection="1"/>
    <xf numFmtId="0" fontId="3" fillId="2" borderId="6" xfId="0" applyFont="1" applyFill="1" applyBorder="1" applyAlignment="1" applyProtection="1">
      <alignment horizontal="center"/>
    </xf>
    <xf numFmtId="0" fontId="3" fillId="0" borderId="11" xfId="0" applyFont="1" applyBorder="1" applyProtection="1"/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/>
    </xf>
    <xf numFmtId="0" fontId="3" fillId="0" borderId="13" xfId="0" applyFont="1" applyFill="1" applyBorder="1" applyProtection="1"/>
    <xf numFmtId="0" fontId="3" fillId="0" borderId="15" xfId="0" applyFont="1" applyFill="1" applyBorder="1" applyProtection="1"/>
    <xf numFmtId="0" fontId="3" fillId="0" borderId="2" xfId="0" applyFont="1" applyFill="1" applyBorder="1" applyProtection="1"/>
    <xf numFmtId="0" fontId="3" fillId="0" borderId="10" xfId="0" applyFont="1" applyFill="1" applyBorder="1" applyProtection="1"/>
    <xf numFmtId="0" fontId="3" fillId="0" borderId="0" xfId="0" applyFont="1" applyProtection="1"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1" fillId="7" borderId="14" xfId="0" applyFont="1" applyFill="1" applyBorder="1" applyAlignment="1" applyProtection="1">
      <alignment horizontal="center" vertical="center"/>
    </xf>
    <xf numFmtId="0" fontId="1" fillId="7" borderId="13" xfId="0" applyFont="1" applyFill="1" applyBorder="1" applyAlignment="1" applyProtection="1">
      <alignment horizontal="center" vertical="center"/>
    </xf>
    <xf numFmtId="0" fontId="1" fillId="7" borderId="1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15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13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4" fillId="5" borderId="14" xfId="0" applyFont="1" applyFill="1" applyBorder="1" applyAlignment="1" applyProtection="1">
      <alignment horizontal="center"/>
    </xf>
    <xf numFmtId="0" fontId="4" fillId="5" borderId="13" xfId="0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horizontal="center"/>
    </xf>
    <xf numFmtId="14" fontId="3" fillId="0" borderId="15" xfId="0" applyNumberFormat="1" applyFont="1" applyBorder="1" applyAlignment="1" applyProtection="1">
      <alignment horizontal="left"/>
      <protection locked="0"/>
    </xf>
    <xf numFmtId="2" fontId="3" fillId="0" borderId="13" xfId="0" applyNumberFormat="1" applyFont="1" applyBorder="1" applyProtection="1"/>
    <xf numFmtId="14" fontId="3" fillId="0" borderId="13" xfId="0" applyNumberFormat="1" applyFont="1" applyBorder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$O$3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firstButton="1" fmlaLink="$O$8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27</xdr:row>
      <xdr:rowOff>171451</xdr:rowOff>
    </xdr:from>
    <xdr:to>
      <xdr:col>10</xdr:col>
      <xdr:colOff>1060637</xdr:colOff>
      <xdr:row>31</xdr:row>
      <xdr:rowOff>38101</xdr:rowOff>
    </xdr:to>
    <xdr:pic>
      <xdr:nvPicPr>
        <xdr:cNvPr id="1050" name="Picture 1" descr="ALFA_logga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5314951"/>
          <a:ext cx="936812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</xdr:row>
          <xdr:rowOff>152400</xdr:rowOff>
        </xdr:from>
        <xdr:to>
          <xdr:col>10</xdr:col>
          <xdr:colOff>504825</xdr:colOff>
          <xdr:row>4</xdr:row>
          <xdr:rowOff>180975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723900</xdr:colOff>
          <xdr:row>3</xdr:row>
          <xdr:rowOff>152400</xdr:rowOff>
        </xdr:from>
        <xdr:to>
          <xdr:col>10</xdr:col>
          <xdr:colOff>1085850</xdr:colOff>
          <xdr:row>4</xdr:row>
          <xdr:rowOff>180975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3</xdr:row>
      <xdr:rowOff>0</xdr:rowOff>
    </xdr:from>
    <xdr:to>
      <xdr:col>5</xdr:col>
      <xdr:colOff>0</xdr:colOff>
      <xdr:row>6</xdr:row>
      <xdr:rowOff>0</xdr:rowOff>
    </xdr:to>
    <xdr:cxnSp macro="">
      <xdr:nvCxnSpPr>
        <xdr:cNvPr id="3" name="Rak pi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381250" y="571500"/>
          <a:ext cx="1371600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581025</xdr:colOff>
      <xdr:row>28</xdr:row>
      <xdr:rowOff>0</xdr:rowOff>
    </xdr:from>
    <xdr:to>
      <xdr:col>12</xdr:col>
      <xdr:colOff>57150</xdr:colOff>
      <xdr:row>30</xdr:row>
      <xdr:rowOff>104775</xdr:rowOff>
    </xdr:to>
    <xdr:pic>
      <xdr:nvPicPr>
        <xdr:cNvPr id="2052" name="Picture 1" descr="ALFA_logga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5010150"/>
          <a:ext cx="866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571500</xdr:colOff>
      <xdr:row>28</xdr:row>
      <xdr:rowOff>0</xdr:rowOff>
    </xdr:from>
    <xdr:to>
      <xdr:col>12</xdr:col>
      <xdr:colOff>47625</xdr:colOff>
      <xdr:row>30</xdr:row>
      <xdr:rowOff>104775</xdr:rowOff>
    </xdr:to>
    <xdr:pic>
      <xdr:nvPicPr>
        <xdr:cNvPr id="3" name="Picture 1" descr="ALFA_logg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5867400"/>
          <a:ext cx="7143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28</xdr:row>
      <xdr:rowOff>0</xdr:rowOff>
    </xdr:from>
    <xdr:to>
      <xdr:col>12</xdr:col>
      <xdr:colOff>47625</xdr:colOff>
      <xdr:row>30</xdr:row>
      <xdr:rowOff>104775</xdr:rowOff>
    </xdr:to>
    <xdr:pic>
      <xdr:nvPicPr>
        <xdr:cNvPr id="3089" name="Picture 1" descr="ALFA_logga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962525"/>
          <a:ext cx="866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5</xdr:row>
          <xdr:rowOff>152400</xdr:rowOff>
        </xdr:from>
        <xdr:to>
          <xdr:col>11</xdr:col>
          <xdr:colOff>285750</xdr:colOff>
          <xdr:row>7</xdr:row>
          <xdr:rowOff>57150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Klass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5</xdr:row>
          <xdr:rowOff>152400</xdr:rowOff>
        </xdr:from>
        <xdr:to>
          <xdr:col>12</xdr:col>
          <xdr:colOff>342900</xdr:colOff>
          <xdr:row>7</xdr:row>
          <xdr:rowOff>57150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Klass II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O41"/>
  <sheetViews>
    <sheetView tabSelected="1" zoomScaleNormal="100" zoomScaleSheetLayoutView="110" workbookViewId="0">
      <selection activeCell="Q35" sqref="Q35"/>
    </sheetView>
  </sheetViews>
  <sheetFormatPr defaultColWidth="10.5" defaultRowHeight="12.75" x14ac:dyDescent="0.2"/>
  <cols>
    <col min="1" max="1" width="15.83203125" style="4" customWidth="1"/>
    <col min="2" max="6" width="10.83203125" style="4" customWidth="1"/>
    <col min="7" max="7" width="20.83203125" style="4" customWidth="1"/>
    <col min="8" max="10" width="15.83203125" style="4" customWidth="1"/>
    <col min="11" max="11" width="20.83203125" style="4" customWidth="1"/>
    <col min="12" max="12" width="10.5" style="4" customWidth="1"/>
    <col min="13" max="13" width="10.5" style="4"/>
    <col min="14" max="15" width="10.5" style="4" hidden="1" customWidth="1"/>
    <col min="16" max="16" width="10.5" style="4" customWidth="1"/>
    <col min="17" max="16384" width="10.5" style="4"/>
  </cols>
  <sheetData>
    <row r="1" spans="1:15" ht="15" customHeight="1" x14ac:dyDescent="0.2">
      <c r="A1" s="190" t="s">
        <v>160</v>
      </c>
      <c r="B1" s="191"/>
      <c r="C1" s="191"/>
      <c r="D1" s="192"/>
      <c r="E1" s="193" t="s">
        <v>159</v>
      </c>
      <c r="F1" s="194"/>
      <c r="G1" s="194"/>
      <c r="H1" s="195"/>
      <c r="I1" s="180" t="s">
        <v>0</v>
      </c>
      <c r="J1" s="181"/>
      <c r="K1" s="182"/>
      <c r="L1" s="3"/>
    </row>
    <row r="2" spans="1:15" ht="15" customHeight="1" x14ac:dyDescent="0.2">
      <c r="A2" s="5"/>
      <c r="G2" s="3"/>
      <c r="H2" s="3"/>
      <c r="I2" s="3"/>
      <c r="J2" s="3"/>
      <c r="K2" s="204" t="s">
        <v>165</v>
      </c>
      <c r="L2" s="3"/>
    </row>
    <row r="3" spans="1:15" ht="15" customHeight="1" x14ac:dyDescent="0.2">
      <c r="A3" s="5"/>
      <c r="B3" s="19" t="s">
        <v>1</v>
      </c>
      <c r="C3" s="82">
        <v>5</v>
      </c>
      <c r="D3" s="96" t="s">
        <v>2</v>
      </c>
      <c r="F3" s="89" t="s">
        <v>142</v>
      </c>
      <c r="K3" s="7"/>
      <c r="L3" s="3"/>
      <c r="N3" s="87" t="s">
        <v>128</v>
      </c>
      <c r="O3" s="81">
        <v>2</v>
      </c>
    </row>
    <row r="4" spans="1:15" ht="15" customHeight="1" x14ac:dyDescent="0.2">
      <c r="A4" s="5"/>
      <c r="B4" s="19" t="s">
        <v>137</v>
      </c>
      <c r="C4" s="82">
        <v>10</v>
      </c>
      <c r="D4" s="70" t="s">
        <v>3</v>
      </c>
      <c r="K4" s="7"/>
      <c r="L4" s="3"/>
    </row>
    <row r="5" spans="1:15" ht="15" customHeight="1" x14ac:dyDescent="0.25">
      <c r="A5" s="5"/>
      <c r="B5" s="93" t="s">
        <v>138</v>
      </c>
      <c r="C5" s="94">
        <v>1.25</v>
      </c>
      <c r="D5" s="8"/>
      <c r="G5" s="98" t="s">
        <v>128</v>
      </c>
      <c r="H5" s="2"/>
      <c r="I5" s="2"/>
      <c r="J5" s="78" t="s">
        <v>143</v>
      </c>
      <c r="K5" s="88"/>
      <c r="L5" s="3"/>
    </row>
    <row r="6" spans="1:15" ht="15" customHeight="1" x14ac:dyDescent="0.25">
      <c r="A6" s="5"/>
      <c r="G6" s="9"/>
      <c r="H6" s="10"/>
      <c r="I6" s="38" t="s">
        <v>139</v>
      </c>
      <c r="J6" s="84">
        <v>10</v>
      </c>
      <c r="K6" s="95" t="s">
        <v>140</v>
      </c>
      <c r="L6" s="3"/>
      <c r="N6" s="6"/>
    </row>
    <row r="7" spans="1:15" ht="15" customHeight="1" x14ac:dyDescent="0.2">
      <c r="A7" s="103" t="s">
        <v>4</v>
      </c>
      <c r="B7" s="16" t="s">
        <v>127</v>
      </c>
      <c r="C7" s="22">
        <f>190*(C3*12)^(1/3)*LN(C4)/C4^0.98+2</f>
        <v>181.34380231571683</v>
      </c>
      <c r="D7" s="16" t="s">
        <v>5</v>
      </c>
      <c r="J7" s="97" t="s">
        <v>141</v>
      </c>
      <c r="K7" s="31"/>
      <c r="L7" s="3"/>
      <c r="N7" s="6"/>
    </row>
    <row r="8" spans="1:15" ht="15" customHeight="1" x14ac:dyDescent="0.2">
      <c r="A8" s="5"/>
      <c r="B8" s="16"/>
      <c r="C8" s="16"/>
      <c r="D8" s="16"/>
      <c r="K8" s="7"/>
      <c r="L8" s="3"/>
      <c r="N8" s="6"/>
    </row>
    <row r="9" spans="1:15" ht="15" customHeight="1" x14ac:dyDescent="0.2">
      <c r="A9" s="5"/>
      <c r="B9" s="3"/>
      <c r="C9" s="3"/>
      <c r="D9" s="3"/>
      <c r="E9" s="3"/>
      <c r="G9" s="3"/>
      <c r="H9" s="70"/>
      <c r="I9" s="70"/>
      <c r="J9" s="3"/>
      <c r="K9" s="7"/>
      <c r="L9" s="3"/>
      <c r="N9" s="6"/>
    </row>
    <row r="10" spans="1:15" ht="15" customHeight="1" x14ac:dyDescent="0.2">
      <c r="A10" s="9" t="s">
        <v>163</v>
      </c>
      <c r="B10" s="10"/>
      <c r="C10" s="10"/>
      <c r="D10" s="10"/>
      <c r="E10" s="10"/>
      <c r="F10" s="10"/>
      <c r="G10" s="10"/>
      <c r="H10" s="3"/>
      <c r="I10" s="3"/>
      <c r="J10" s="3"/>
      <c r="K10" s="7"/>
      <c r="L10" s="3"/>
    </row>
    <row r="11" spans="1:15" ht="15" customHeight="1" x14ac:dyDescent="0.2">
      <c r="A11" s="21" t="s">
        <v>18</v>
      </c>
      <c r="B11" s="3"/>
      <c r="C11" s="3"/>
      <c r="D11" s="3"/>
      <c r="E11" s="3"/>
      <c r="F11" s="3"/>
      <c r="G11" s="12" t="s">
        <v>7</v>
      </c>
      <c r="H11" s="12" t="s">
        <v>8</v>
      </c>
      <c r="I11" s="3"/>
      <c r="J11" s="71"/>
      <c r="K11" s="7"/>
      <c r="L11" s="3"/>
    </row>
    <row r="12" spans="1:15" ht="15" customHeight="1" x14ac:dyDescent="0.2">
      <c r="A12" s="5"/>
      <c r="B12" s="3"/>
      <c r="C12" s="3"/>
      <c r="D12" s="3"/>
      <c r="E12" s="3"/>
      <c r="F12" s="3"/>
      <c r="G12" s="13"/>
      <c r="H12" s="13" t="s">
        <v>10</v>
      </c>
      <c r="I12" s="3"/>
      <c r="J12" s="3"/>
      <c r="K12" s="75"/>
      <c r="L12" s="3"/>
    </row>
    <row r="13" spans="1:15" ht="15" customHeight="1" x14ac:dyDescent="0.2">
      <c r="A13" s="5" t="s">
        <v>21</v>
      </c>
      <c r="B13" s="3"/>
      <c r="C13" s="3"/>
      <c r="D13" s="3"/>
      <c r="E13" s="3"/>
      <c r="F13" s="3"/>
      <c r="G13" s="14">
        <v>0.9</v>
      </c>
      <c r="H13" s="15"/>
      <c r="I13" s="3"/>
      <c r="J13" s="22">
        <f>SUM(H27:H32)+SUM(J27:J32)+SUM(H13:H22)</f>
        <v>0</v>
      </c>
      <c r="K13" s="23" t="s">
        <v>19</v>
      </c>
      <c r="L13" s="3"/>
    </row>
    <row r="14" spans="1:15" ht="15" customHeight="1" x14ac:dyDescent="0.2">
      <c r="A14" s="5" t="s">
        <v>24</v>
      </c>
      <c r="B14" s="3"/>
      <c r="C14" s="3"/>
      <c r="D14" s="3"/>
      <c r="E14" s="3"/>
      <c r="F14" s="3"/>
      <c r="G14" s="14">
        <v>0.5</v>
      </c>
      <c r="H14" s="15"/>
      <c r="I14" s="3"/>
      <c r="J14" s="24">
        <f>IF(J13=0,0,(H33+J33+H23)/J13)</f>
        <v>0</v>
      </c>
      <c r="K14" s="23" t="s">
        <v>20</v>
      </c>
      <c r="L14" s="3"/>
    </row>
    <row r="15" spans="1:15" ht="15" customHeight="1" x14ac:dyDescent="0.25">
      <c r="A15" s="5" t="s">
        <v>25</v>
      </c>
      <c r="B15" s="3"/>
      <c r="C15" s="3"/>
      <c r="D15" s="3"/>
      <c r="E15" s="3"/>
      <c r="F15" s="3"/>
      <c r="G15" s="14">
        <v>0.8</v>
      </c>
      <c r="H15" s="15"/>
      <c r="I15" s="25" t="s">
        <v>22</v>
      </c>
      <c r="J15" s="26">
        <f>IF(O3=1,IF(J18&lt;&gt;"",J18,C7/10000*J13*J14)*J6/100,IF(J18&lt;&gt;"",J18,C7/10000*J13*J14))*C5</f>
        <v>0</v>
      </c>
      <c r="K15" s="27" t="s">
        <v>23</v>
      </c>
      <c r="L15" s="3"/>
    </row>
    <row r="16" spans="1:15" ht="15" customHeight="1" x14ac:dyDescent="0.2">
      <c r="A16" s="5" t="s">
        <v>27</v>
      </c>
      <c r="B16" s="3"/>
      <c r="C16" s="3"/>
      <c r="D16" s="3"/>
      <c r="E16" s="3"/>
      <c r="F16" s="3"/>
      <c r="G16" s="14">
        <v>0.7</v>
      </c>
      <c r="H16" s="15"/>
      <c r="I16" s="28"/>
      <c r="J16" s="28"/>
      <c r="K16" s="7"/>
      <c r="L16" s="3"/>
    </row>
    <row r="17" spans="1:12" ht="15" customHeight="1" x14ac:dyDescent="0.2">
      <c r="A17" s="5" t="s">
        <v>29</v>
      </c>
      <c r="B17" s="3"/>
      <c r="C17" s="3"/>
      <c r="D17" s="3"/>
      <c r="E17" s="3"/>
      <c r="F17" s="3"/>
      <c r="G17" s="14">
        <v>0.4</v>
      </c>
      <c r="H17" s="15"/>
      <c r="I17" s="29" t="s">
        <v>26</v>
      </c>
      <c r="J17" s="30"/>
      <c r="K17" s="31"/>
      <c r="L17" s="3"/>
    </row>
    <row r="18" spans="1:12" ht="15" customHeight="1" x14ac:dyDescent="0.25">
      <c r="A18" s="5" t="s">
        <v>31</v>
      </c>
      <c r="B18" s="3"/>
      <c r="C18" s="3"/>
      <c r="D18" s="3"/>
      <c r="E18" s="3"/>
      <c r="F18" s="3"/>
      <c r="G18" s="14">
        <v>0.3</v>
      </c>
      <c r="H18" s="15"/>
      <c r="I18" s="32" t="s">
        <v>28</v>
      </c>
      <c r="J18" s="33"/>
      <c r="K18" s="27" t="s">
        <v>23</v>
      </c>
      <c r="L18" s="3"/>
    </row>
    <row r="19" spans="1:12" ht="15" customHeight="1" x14ac:dyDescent="0.2">
      <c r="A19" s="5" t="s">
        <v>33</v>
      </c>
      <c r="B19" s="3"/>
      <c r="C19" s="3"/>
      <c r="D19" s="3"/>
      <c r="E19" s="3"/>
      <c r="F19" s="3"/>
      <c r="G19" s="14">
        <v>0.2</v>
      </c>
      <c r="H19" s="15"/>
      <c r="I19" s="32"/>
      <c r="J19" s="34" t="s">
        <v>30</v>
      </c>
      <c r="K19" s="7"/>
      <c r="L19" s="3"/>
    </row>
    <row r="20" spans="1:12" ht="15" customHeight="1" x14ac:dyDescent="0.2">
      <c r="A20" s="5" t="s">
        <v>34</v>
      </c>
      <c r="B20" s="3"/>
      <c r="C20" s="3"/>
      <c r="D20" s="3"/>
      <c r="E20" s="3"/>
      <c r="F20" s="3"/>
      <c r="G20" s="36">
        <v>0.1</v>
      </c>
      <c r="H20" s="15"/>
      <c r="I20" s="32"/>
      <c r="J20" s="34" t="s">
        <v>32</v>
      </c>
      <c r="K20" s="7"/>
      <c r="L20" s="3"/>
    </row>
    <row r="21" spans="1:12" ht="15" customHeight="1" x14ac:dyDescent="0.25">
      <c r="A21" s="5" t="s">
        <v>35</v>
      </c>
      <c r="B21" s="3"/>
      <c r="C21" s="3"/>
      <c r="D21" s="3"/>
      <c r="E21" s="3"/>
      <c r="F21" s="3"/>
      <c r="G21" s="36">
        <v>0.1</v>
      </c>
      <c r="H21" s="15"/>
      <c r="I21" s="184" t="s">
        <v>120</v>
      </c>
      <c r="J21" s="185"/>
      <c r="K21" s="186"/>
      <c r="L21" s="3"/>
    </row>
    <row r="22" spans="1:12" ht="15" customHeight="1" x14ac:dyDescent="0.2">
      <c r="A22" s="9" t="s">
        <v>36</v>
      </c>
      <c r="B22" s="10"/>
      <c r="C22" s="10"/>
      <c r="D22" s="10"/>
      <c r="E22" s="10"/>
      <c r="F22" s="10"/>
      <c r="G22" s="37">
        <v>0.1</v>
      </c>
      <c r="H22" s="17"/>
      <c r="I22" s="187" t="s">
        <v>119</v>
      </c>
      <c r="J22" s="188"/>
      <c r="K22" s="189"/>
      <c r="L22" s="3"/>
    </row>
    <row r="23" spans="1:12" ht="15" customHeight="1" x14ac:dyDescent="0.2">
      <c r="A23" s="67"/>
      <c r="B23" s="2"/>
      <c r="C23" s="2"/>
      <c r="D23" s="2"/>
      <c r="E23" s="2"/>
      <c r="F23" s="2"/>
      <c r="G23" s="78"/>
      <c r="H23" s="79">
        <f>G13*H13+G14*H14+G15*H15+G16*H16+G17*H17+G18*H18+G19*H19+G20*H20+G21*H21+G22*H22</f>
        <v>0</v>
      </c>
      <c r="I23" s="3"/>
      <c r="J23" s="3"/>
      <c r="K23" s="7"/>
      <c r="L23" s="3"/>
    </row>
    <row r="24" spans="1:12" ht="15" customHeight="1" x14ac:dyDescent="0.2">
      <c r="A24" s="9" t="s">
        <v>164</v>
      </c>
      <c r="B24" s="10"/>
      <c r="C24" s="10"/>
      <c r="D24" s="10"/>
      <c r="E24" s="10"/>
      <c r="F24" s="10"/>
      <c r="G24" s="10"/>
      <c r="H24" s="10"/>
      <c r="I24" s="10"/>
      <c r="J24" s="10"/>
      <c r="K24" s="7"/>
      <c r="L24" s="3"/>
    </row>
    <row r="25" spans="1:12" ht="15" customHeight="1" x14ac:dyDescent="0.2">
      <c r="A25" s="11" t="s">
        <v>6</v>
      </c>
      <c r="B25" s="3"/>
      <c r="C25" s="3"/>
      <c r="D25" s="3"/>
      <c r="E25" s="3"/>
      <c r="F25" s="3"/>
      <c r="G25" s="12" t="s">
        <v>7</v>
      </c>
      <c r="H25" s="12" t="s">
        <v>8</v>
      </c>
      <c r="I25" s="12" t="s">
        <v>7</v>
      </c>
      <c r="J25" s="12" t="s">
        <v>8</v>
      </c>
      <c r="K25" s="7"/>
      <c r="L25" s="3"/>
    </row>
    <row r="26" spans="1:12" ht="15" customHeight="1" x14ac:dyDescent="0.2">
      <c r="A26" s="5"/>
      <c r="B26" s="3"/>
      <c r="C26" s="3"/>
      <c r="D26" s="3"/>
      <c r="E26" s="3"/>
      <c r="F26" s="3"/>
      <c r="G26" s="13" t="s">
        <v>9</v>
      </c>
      <c r="H26" s="13" t="s">
        <v>10</v>
      </c>
      <c r="I26" s="13" t="s">
        <v>11</v>
      </c>
      <c r="J26" s="13" t="s">
        <v>10</v>
      </c>
      <c r="K26" s="7"/>
      <c r="L26" s="3"/>
    </row>
    <row r="27" spans="1:12" ht="15" customHeight="1" x14ac:dyDescent="0.2">
      <c r="A27" s="5" t="s">
        <v>12</v>
      </c>
      <c r="B27" s="3"/>
      <c r="C27" s="3"/>
      <c r="D27" s="3"/>
      <c r="E27" s="3"/>
      <c r="F27" s="3"/>
      <c r="G27" s="14">
        <v>0.7</v>
      </c>
      <c r="H27" s="15"/>
      <c r="I27" s="14">
        <v>0.9</v>
      </c>
      <c r="J27" s="15"/>
      <c r="K27" s="7"/>
      <c r="L27" s="3"/>
    </row>
    <row r="28" spans="1:12" ht="15" customHeight="1" x14ac:dyDescent="0.2">
      <c r="A28" s="5" t="s">
        <v>13</v>
      </c>
      <c r="B28" s="3"/>
      <c r="C28" s="3"/>
      <c r="D28" s="3"/>
      <c r="E28" s="3"/>
      <c r="F28" s="3"/>
      <c r="G28" s="14">
        <v>0.5</v>
      </c>
      <c r="H28" s="15"/>
      <c r="I28" s="14">
        <v>0.7</v>
      </c>
      <c r="J28" s="15"/>
      <c r="K28" s="7"/>
      <c r="L28" s="3"/>
    </row>
    <row r="29" spans="1:12" ht="15" customHeight="1" x14ac:dyDescent="0.2">
      <c r="A29" s="5" t="s">
        <v>14</v>
      </c>
      <c r="B29" s="3"/>
      <c r="C29" s="3"/>
      <c r="D29" s="3"/>
      <c r="E29" s="3"/>
      <c r="F29" s="3"/>
      <c r="G29" s="14">
        <v>0.4</v>
      </c>
      <c r="H29" s="15"/>
      <c r="I29" s="14">
        <v>0.6</v>
      </c>
      <c r="J29" s="15"/>
      <c r="K29" s="31"/>
      <c r="L29" s="3"/>
    </row>
    <row r="30" spans="1:12" ht="15" customHeight="1" x14ac:dyDescent="0.2">
      <c r="A30" s="5" t="s">
        <v>15</v>
      </c>
      <c r="B30" s="3"/>
      <c r="C30" s="3"/>
      <c r="D30" s="3"/>
      <c r="E30" s="3"/>
      <c r="F30" s="3"/>
      <c r="G30" s="14">
        <v>0.4</v>
      </c>
      <c r="H30" s="15"/>
      <c r="I30" s="14">
        <v>0.6</v>
      </c>
      <c r="J30" s="15"/>
      <c r="K30" s="7"/>
      <c r="L30" s="3"/>
    </row>
    <row r="31" spans="1:12" ht="15" customHeight="1" x14ac:dyDescent="0.2">
      <c r="A31" s="5" t="s">
        <v>16</v>
      </c>
      <c r="B31" s="3"/>
      <c r="C31" s="3"/>
      <c r="D31" s="3"/>
      <c r="E31" s="3"/>
      <c r="F31" s="3"/>
      <c r="G31" s="14">
        <v>0.35</v>
      </c>
      <c r="H31" s="15"/>
      <c r="I31" s="14">
        <v>0.45</v>
      </c>
      <c r="J31" s="15"/>
      <c r="K31" s="7"/>
      <c r="L31" s="3"/>
    </row>
    <row r="32" spans="1:12" ht="15" customHeight="1" x14ac:dyDescent="0.2">
      <c r="A32" s="9" t="s">
        <v>17</v>
      </c>
      <c r="B32" s="10"/>
      <c r="C32" s="10"/>
      <c r="D32" s="10"/>
      <c r="E32" s="10"/>
      <c r="F32" s="10"/>
      <c r="G32" s="104">
        <v>0.2</v>
      </c>
      <c r="H32" s="17"/>
      <c r="I32" s="104">
        <v>0.3</v>
      </c>
      <c r="J32" s="17"/>
      <c r="K32" s="13" t="s">
        <v>37</v>
      </c>
      <c r="L32" s="3"/>
    </row>
    <row r="33" spans="1:12" ht="15" customHeight="1" x14ac:dyDescent="0.2">
      <c r="A33" s="51"/>
      <c r="B33" s="40"/>
      <c r="C33" s="40"/>
      <c r="D33" s="40"/>
      <c r="E33" s="40"/>
      <c r="F33" s="40"/>
      <c r="G33" s="76"/>
      <c r="H33" s="77">
        <f>G27*H27+G28*H28+G29*H29+G30*H30+G31*H31+G32*H32</f>
        <v>0</v>
      </c>
      <c r="I33" s="76"/>
      <c r="J33" s="20">
        <f>I27*J27+I28*J28+I29*J29+I30*J30+I31*J31+I32*J32</f>
        <v>0</v>
      </c>
      <c r="K33" s="39"/>
      <c r="L33" s="3"/>
    </row>
    <row r="34" spans="1:12" ht="15" customHeight="1" x14ac:dyDescent="0.2">
      <c r="A34" s="3"/>
      <c r="G34" s="3"/>
      <c r="H34" s="3"/>
      <c r="I34" s="3"/>
      <c r="J34" s="183" t="s">
        <v>38</v>
      </c>
      <c r="K34" s="183"/>
      <c r="L34" s="3"/>
    </row>
    <row r="35" spans="1:12" ht="15" customHeight="1" x14ac:dyDescent="0.2">
      <c r="B35" s="89" t="s">
        <v>136</v>
      </c>
      <c r="C35" s="89"/>
      <c r="D35" s="89"/>
      <c r="E35" s="3"/>
      <c r="F35" s="3"/>
      <c r="G35" s="3"/>
      <c r="H35" s="8"/>
      <c r="I35" s="3"/>
      <c r="J35" s="8"/>
      <c r="K35" s="3"/>
    </row>
    <row r="36" spans="1:12" ht="15" customHeight="1" x14ac:dyDescent="0.2">
      <c r="A36" s="107"/>
      <c r="B36" s="108" t="s">
        <v>39</v>
      </c>
      <c r="C36" s="108"/>
      <c r="D36" s="108"/>
      <c r="E36" s="108"/>
      <c r="F36" s="109" t="s">
        <v>40</v>
      </c>
      <c r="G36" s="41"/>
      <c r="H36" s="109" t="s">
        <v>41</v>
      </c>
      <c r="I36" s="41"/>
      <c r="J36" s="109" t="s">
        <v>42</v>
      </c>
      <c r="K36" s="110" t="s">
        <v>172</v>
      </c>
    </row>
    <row r="37" spans="1:12" ht="15" customHeight="1" x14ac:dyDescent="0.2">
      <c r="A37" s="111" t="s">
        <v>43</v>
      </c>
      <c r="B37" s="90" t="s">
        <v>166</v>
      </c>
      <c r="C37" s="90"/>
      <c r="D37" s="90"/>
      <c r="E37" s="90"/>
      <c r="F37" s="91" t="s">
        <v>168</v>
      </c>
      <c r="G37" s="41"/>
      <c r="H37" s="91" t="s">
        <v>170</v>
      </c>
      <c r="I37" s="41"/>
      <c r="J37" s="42"/>
      <c r="K37" s="92" t="s">
        <v>173</v>
      </c>
    </row>
    <row r="38" spans="1:12" ht="15" customHeight="1" x14ac:dyDescent="0.2">
      <c r="A38" s="111" t="s">
        <v>44</v>
      </c>
      <c r="B38" s="90" t="s">
        <v>167</v>
      </c>
      <c r="C38" s="90"/>
      <c r="D38" s="90"/>
      <c r="E38" s="90"/>
      <c r="F38" s="91" t="s">
        <v>169</v>
      </c>
      <c r="G38" s="41"/>
      <c r="H38" s="91" t="s">
        <v>171</v>
      </c>
      <c r="I38" s="41"/>
      <c r="J38" s="109" t="s">
        <v>45</v>
      </c>
      <c r="K38" s="201">
        <v>44544</v>
      </c>
    </row>
    <row r="39" spans="1:12" ht="15" customHeight="1" x14ac:dyDescent="0.2">
      <c r="A39" s="3"/>
      <c r="L39" s="3"/>
    </row>
    <row r="40" spans="1:12" ht="15" customHeight="1" x14ac:dyDescent="0.2"/>
    <row r="41" spans="1:12" ht="15" customHeight="1" x14ac:dyDescent="0.2"/>
  </sheetData>
  <sheetProtection algorithmName="SHA-512" hashValue="8dQZLCoFe3XCcofVx+sWJWx+IH7GPi7zJd9OBoh2mv1Gbb7ncDRAd3CnPUbOcd+MjtqG6dkHHiSIOsauyAKkIQ==" saltValue="YN9KA8DpL/CR2t9Bm9hT9Q==" spinCount="100000" sheet="1" objects="1" scenarios="1"/>
  <mergeCells count="6">
    <mergeCell ref="I1:K1"/>
    <mergeCell ref="J34:K34"/>
    <mergeCell ref="I21:K21"/>
    <mergeCell ref="I22:K22"/>
    <mergeCell ref="A1:D1"/>
    <mergeCell ref="E1:H1"/>
  </mergeCells>
  <phoneticPr fontId="12" type="noConversion"/>
  <printOptions horizontalCentered="1"/>
  <pageMargins left="0.39370078740157483" right="0.39370078740157483" top="0.59055118110236227" bottom="0.39370078740157483" header="0.51181102362204722" footer="0.51181102362204722"/>
  <pageSetup paperSize="9" scale="92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10</xdr:col>
                    <xdr:colOff>142875</xdr:colOff>
                    <xdr:row>3</xdr:row>
                    <xdr:rowOff>152400</xdr:rowOff>
                  </from>
                  <to>
                    <xdr:col>10</xdr:col>
                    <xdr:colOff>504825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10</xdr:col>
                    <xdr:colOff>723900</xdr:colOff>
                    <xdr:row>3</xdr:row>
                    <xdr:rowOff>152400</xdr:rowOff>
                  </from>
                  <to>
                    <xdr:col>10</xdr:col>
                    <xdr:colOff>1085850</xdr:colOff>
                    <xdr:row>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Q38"/>
  <sheetViews>
    <sheetView zoomScaleNormal="100" workbookViewId="0">
      <selection activeCell="C14" sqref="C14"/>
    </sheetView>
  </sheetViews>
  <sheetFormatPr defaultColWidth="10.5" defaultRowHeight="12.75" x14ac:dyDescent="0.2"/>
  <cols>
    <col min="1" max="13" width="10.83203125" style="4" customWidth="1"/>
    <col min="14" max="14" width="10.5" style="4"/>
    <col min="15" max="17" width="10.5" style="170" hidden="1" customWidth="1"/>
    <col min="18" max="16384" width="10.5" style="4"/>
  </cols>
  <sheetData>
    <row r="1" spans="1:17" ht="16.5" customHeight="1" x14ac:dyDescent="0.2">
      <c r="A1" s="190" t="s">
        <v>46</v>
      </c>
      <c r="B1" s="191"/>
      <c r="C1" s="191"/>
      <c r="D1" s="192"/>
      <c r="E1" s="193" t="s">
        <v>161</v>
      </c>
      <c r="F1" s="194"/>
      <c r="G1" s="194"/>
      <c r="H1" s="195"/>
      <c r="I1" s="180" t="s">
        <v>0</v>
      </c>
      <c r="J1" s="181"/>
      <c r="K1" s="181"/>
      <c r="L1" s="181"/>
      <c r="M1" s="182"/>
      <c r="N1" s="43"/>
    </row>
    <row r="2" spans="1:17" ht="16.5" customHeight="1" x14ac:dyDescent="0.2">
      <c r="A2" s="11"/>
      <c r="B2" s="3"/>
      <c r="C2" s="3"/>
      <c r="D2" s="3"/>
      <c r="E2" s="3"/>
      <c r="F2" s="3"/>
      <c r="G2" s="3"/>
      <c r="H2" s="3"/>
      <c r="I2" s="3"/>
      <c r="J2" s="3"/>
      <c r="K2" s="3"/>
      <c r="L2" s="205" t="str">
        <f>Qr!K2</f>
        <v>Dok.ver. 2.0</v>
      </c>
      <c r="M2" s="7"/>
      <c r="N2" s="3"/>
      <c r="O2" s="171">
        <f>IF(K18+L18=0,IF(J18&lt;3,J18*0.5,IF(J18=3,1.35,IF(J18=4,1.6,1.6+(J18-4)*0.1))),"-")</f>
        <v>0</v>
      </c>
      <c r="P2" s="172">
        <f>IF(L18=0,IF(K18&lt;3,K18*1,IF(K18=3,2.7,IF(K18=4,3.2,3.2+(K18-4)*0.2))),"-")</f>
        <v>0</v>
      </c>
      <c r="Q2" s="172">
        <f>IF(L18&lt;3,L18*1.7,IF(L18=3,4.6,IF(L18=4,5.45,5.45+(L18-4)*0.3)))</f>
        <v>0</v>
      </c>
    </row>
    <row r="3" spans="1:17" ht="16.5" customHeight="1" x14ac:dyDescent="0.2">
      <c r="A3" s="44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7"/>
      <c r="N3" s="3"/>
      <c r="O3" s="171" t="str">
        <f>IF(K18+L18=1,IF(J18+1&lt;3,J18*0.5,IF(J18+1=3,0.85,IF(J18+1=4,1.1,1.1+(J18-3)*0.1))),"-")</f>
        <v>-</v>
      </c>
      <c r="P3" s="172" t="str">
        <f>IF(L18=1,IF(K18+1&lt;3,K18*1,IF(K18+1=3,1.7,IF(K18+1=4,2.2,2.2+(K18-3)*0.2))),"-")</f>
        <v>-</v>
      </c>
      <c r="Q3" s="172" t="s">
        <v>48</v>
      </c>
    </row>
    <row r="4" spans="1:17" ht="16.5" customHeight="1" x14ac:dyDescent="0.2">
      <c r="A4" s="5" t="s">
        <v>135</v>
      </c>
      <c r="B4" s="3"/>
      <c r="C4" s="3"/>
      <c r="D4" s="3"/>
      <c r="E4" s="3"/>
      <c r="F4" s="3"/>
      <c r="G4" s="3"/>
      <c r="H4" s="3"/>
      <c r="I4" s="3"/>
      <c r="J4" s="1" t="s">
        <v>150</v>
      </c>
      <c r="K4" s="2"/>
      <c r="L4" s="2"/>
      <c r="M4" s="31"/>
      <c r="N4" s="3"/>
      <c r="O4" s="171" t="str">
        <f>IF(K18+L18=2,IF(J18+2&lt;3,J18*0.5,IF(J18+2=3,0.35,IF(J18+2=4,0.6,0.6+(J18-2)*0.1))),"-")</f>
        <v>-</v>
      </c>
      <c r="P4" s="172" t="str">
        <f>IF(L18=2,IF(K18+2&lt;3,K18*1,IF(K18+2=3,0.7,IF(K18+2=4,1.2,1.2+(K18-2)*0.2))),"-")</f>
        <v>-</v>
      </c>
      <c r="Q4" s="172" t="s">
        <v>48</v>
      </c>
    </row>
    <row r="5" spans="1:17" ht="16.5" customHeight="1" x14ac:dyDescent="0.2">
      <c r="A5" s="11" t="s">
        <v>49</v>
      </c>
      <c r="B5" s="3"/>
      <c r="C5" s="3"/>
      <c r="D5" s="3"/>
      <c r="E5" s="3"/>
      <c r="F5" s="3"/>
      <c r="G5" s="3"/>
      <c r="H5" s="3"/>
      <c r="I5" s="3"/>
      <c r="J5" s="5" t="s">
        <v>134</v>
      </c>
      <c r="K5" s="3"/>
      <c r="L5" s="3"/>
      <c r="M5" s="7"/>
      <c r="N5" s="3"/>
      <c r="O5" s="171" t="str">
        <f>IF(K18+L18=3,IF(J18+3=3,0,IF(J18+3=4,0.25,0.25+(J18-1)*0.1)),"-")</f>
        <v>-</v>
      </c>
      <c r="P5" s="172" t="str">
        <f>IF(L18=3,IF(K18+3=3,0,IF(K18+3=4,0.5,0.5+(K18-1)*0.2)),"-")</f>
        <v>-</v>
      </c>
      <c r="Q5" s="172" t="s">
        <v>48</v>
      </c>
    </row>
    <row r="6" spans="1:17" ht="16.5" customHeight="1" x14ac:dyDescent="0.2">
      <c r="A6" s="11" t="s">
        <v>50</v>
      </c>
      <c r="B6" s="3"/>
      <c r="C6" s="3"/>
      <c r="D6" s="3"/>
      <c r="E6" s="3"/>
      <c r="F6" s="3"/>
      <c r="G6" s="3"/>
      <c r="H6" s="3"/>
      <c r="I6" s="3"/>
      <c r="J6" s="5" t="s">
        <v>76</v>
      </c>
      <c r="K6" s="3"/>
      <c r="L6" s="3"/>
      <c r="M6" s="7"/>
      <c r="N6" s="3"/>
      <c r="O6" s="173" t="str">
        <f>IF(J18=0,"-",IF(K18+L18&gt;3,J18*0.1,"-"))</f>
        <v>-</v>
      </c>
      <c r="P6" s="174" t="str">
        <f>IF(K18=0,"-",IF(L18&gt;3,K18*0.2,"-"))</f>
        <v>-</v>
      </c>
      <c r="Q6" s="174" t="s">
        <v>48</v>
      </c>
    </row>
    <row r="7" spans="1:17" ht="16.5" customHeight="1" x14ac:dyDescent="0.2">
      <c r="A7" s="11" t="s">
        <v>51</v>
      </c>
      <c r="B7" s="3"/>
      <c r="C7" s="3"/>
      <c r="D7" s="3"/>
      <c r="E7" s="3"/>
      <c r="F7" s="3"/>
      <c r="G7" s="3"/>
      <c r="H7" s="3"/>
      <c r="I7" s="3"/>
      <c r="J7" s="9" t="s">
        <v>77</v>
      </c>
      <c r="K7" s="10"/>
      <c r="L7" s="10"/>
      <c r="M7" s="35"/>
      <c r="N7" s="3"/>
    </row>
    <row r="8" spans="1:17" ht="16.5" customHeight="1" x14ac:dyDescent="0.2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7"/>
      <c r="N8" s="3"/>
    </row>
    <row r="9" spans="1:17" ht="16.5" customHeight="1" x14ac:dyDescent="0.25">
      <c r="A9" s="5"/>
      <c r="B9" s="45" t="s">
        <v>52</v>
      </c>
      <c r="C9" s="3"/>
      <c r="D9" s="3"/>
      <c r="E9" s="3"/>
      <c r="F9" s="43"/>
      <c r="G9" s="43"/>
      <c r="H9" s="43"/>
      <c r="I9" s="46" t="s">
        <v>53</v>
      </c>
      <c r="J9" s="3"/>
      <c r="K9" s="3"/>
      <c r="L9" s="3"/>
      <c r="M9" s="7"/>
      <c r="N9" s="3"/>
      <c r="O9" s="81">
        <f>IF(D29="Liten",0.1,IF(D29="Mellan",0.2,0.3))</f>
        <v>0.2</v>
      </c>
    </row>
    <row r="10" spans="1:17" ht="16.5" customHeight="1" x14ac:dyDescent="0.2">
      <c r="A10" s="5"/>
      <c r="B10" s="3"/>
      <c r="C10" s="3"/>
      <c r="D10" s="3"/>
      <c r="E10" s="3"/>
      <c r="F10" s="3"/>
      <c r="G10" s="3"/>
      <c r="H10" s="3"/>
      <c r="I10" s="3" t="s">
        <v>54</v>
      </c>
      <c r="J10" s="3"/>
      <c r="K10" s="3"/>
      <c r="L10" s="3"/>
      <c r="M10" s="7"/>
      <c r="N10" s="3"/>
    </row>
    <row r="11" spans="1:17" ht="16.5" customHeight="1" x14ac:dyDescent="0.25">
      <c r="A11" s="9" t="s">
        <v>55</v>
      </c>
      <c r="B11" s="10"/>
      <c r="C11" s="10"/>
      <c r="D11" s="10"/>
      <c r="E11" s="47" t="s">
        <v>56</v>
      </c>
      <c r="F11" s="48">
        <f>(F12+F13*F14)*F15</f>
        <v>0</v>
      </c>
      <c r="G11" s="47" t="s">
        <v>23</v>
      </c>
      <c r="H11" s="3"/>
      <c r="I11" s="46" t="s">
        <v>57</v>
      </c>
      <c r="J11" s="3"/>
      <c r="K11" s="3"/>
      <c r="L11" s="3"/>
      <c r="M11" s="7"/>
      <c r="N11" s="3"/>
    </row>
    <row r="12" spans="1:17" ht="16.5" customHeight="1" x14ac:dyDescent="0.25">
      <c r="A12" s="9" t="s">
        <v>58</v>
      </c>
      <c r="B12" s="10"/>
      <c r="C12" s="10"/>
      <c r="D12" s="10"/>
      <c r="E12" s="47"/>
      <c r="F12" s="49">
        <f>Qr!J15</f>
        <v>0</v>
      </c>
      <c r="G12" s="16"/>
      <c r="H12" s="3"/>
      <c r="I12" s="3" t="s">
        <v>59</v>
      </c>
      <c r="J12" s="3"/>
      <c r="K12" s="3"/>
      <c r="L12" s="3"/>
      <c r="M12" s="7"/>
      <c r="N12" s="3"/>
    </row>
    <row r="13" spans="1:17" ht="16.5" customHeight="1" x14ac:dyDescent="0.25">
      <c r="A13" s="9" t="s">
        <v>60</v>
      </c>
      <c r="B13" s="10"/>
      <c r="C13" s="10"/>
      <c r="D13" s="10"/>
      <c r="E13" s="10"/>
      <c r="F13" s="49">
        <f>L16+L20+L24</f>
        <v>0</v>
      </c>
      <c r="G13" s="3"/>
      <c r="H13" s="3"/>
      <c r="I13" s="46" t="s">
        <v>61</v>
      </c>
      <c r="J13" s="3"/>
      <c r="K13" s="3"/>
      <c r="L13" s="3"/>
      <c r="M13" s="7"/>
      <c r="N13" s="3"/>
    </row>
    <row r="14" spans="1:17" ht="16.5" customHeight="1" x14ac:dyDescent="0.25">
      <c r="A14" s="9"/>
      <c r="B14" s="38" t="s">
        <v>62</v>
      </c>
      <c r="C14" s="50" t="s">
        <v>133</v>
      </c>
      <c r="D14" s="51"/>
      <c r="E14" s="52" t="s">
        <v>63</v>
      </c>
      <c r="F14" s="49">
        <f>IF(C14="b)",0,IF(C14="c)",1,2))</f>
        <v>2</v>
      </c>
      <c r="G14" s="3"/>
      <c r="H14" s="3"/>
      <c r="I14" s="3" t="s">
        <v>64</v>
      </c>
      <c r="J14" s="3"/>
      <c r="K14" s="3"/>
      <c r="L14" s="3"/>
      <c r="M14" s="7"/>
      <c r="N14" s="3"/>
    </row>
    <row r="15" spans="1:17" ht="16.5" customHeight="1" x14ac:dyDescent="0.25">
      <c r="A15" s="5"/>
      <c r="B15" s="3"/>
      <c r="C15" s="40"/>
      <c r="D15" s="40"/>
      <c r="E15" s="52" t="s">
        <v>121</v>
      </c>
      <c r="F15" s="33">
        <v>1.5</v>
      </c>
      <c r="G15" s="3"/>
      <c r="H15" s="3"/>
      <c r="I15" s="3"/>
      <c r="J15" s="3"/>
      <c r="K15" s="3"/>
      <c r="L15" s="3"/>
      <c r="M15" s="7"/>
      <c r="N15" s="3"/>
    </row>
    <row r="16" spans="1:17" ht="16.5" customHeight="1" x14ac:dyDescent="0.25">
      <c r="A16" s="53" t="s">
        <v>65</v>
      </c>
      <c r="B16" s="2" t="s">
        <v>66</v>
      </c>
      <c r="C16" s="3"/>
      <c r="D16" s="31"/>
      <c r="E16" s="3"/>
      <c r="F16" s="54"/>
      <c r="G16" s="3"/>
      <c r="H16" s="3"/>
      <c r="I16" s="3"/>
      <c r="J16" s="3"/>
      <c r="K16" s="55" t="s">
        <v>122</v>
      </c>
      <c r="L16" s="56">
        <f>SUM(O2:O6)+SUM(P2:P6)+SUM(Q2:Q6)</f>
        <v>0</v>
      </c>
      <c r="M16" s="27" t="s">
        <v>23</v>
      </c>
      <c r="N16" s="3"/>
    </row>
    <row r="17" spans="1:14" ht="16.5" customHeight="1" x14ac:dyDescent="0.2">
      <c r="A17" s="57" t="s">
        <v>67</v>
      </c>
      <c r="B17" s="3" t="s">
        <v>129</v>
      </c>
      <c r="C17" s="3"/>
      <c r="D17" s="7"/>
      <c r="E17" s="3"/>
      <c r="G17" s="3"/>
      <c r="H17" s="3"/>
      <c r="I17" s="8"/>
      <c r="J17" s="8" t="s">
        <v>68</v>
      </c>
      <c r="K17" s="8" t="s">
        <v>69</v>
      </c>
      <c r="L17" s="8" t="s">
        <v>70</v>
      </c>
      <c r="M17" s="7"/>
      <c r="N17" s="3"/>
    </row>
    <row r="18" spans="1:14" ht="16.5" customHeight="1" x14ac:dyDescent="0.2">
      <c r="A18" s="9"/>
      <c r="B18" s="10" t="s">
        <v>130</v>
      </c>
      <c r="C18" s="10"/>
      <c r="D18" s="35"/>
      <c r="E18" s="3"/>
      <c r="G18" s="3"/>
      <c r="H18" s="3"/>
      <c r="I18" s="8" t="s">
        <v>71</v>
      </c>
      <c r="J18" s="50"/>
      <c r="K18" s="50"/>
      <c r="L18" s="50"/>
      <c r="M18" s="7"/>
      <c r="N18" s="3"/>
    </row>
    <row r="19" spans="1:14" ht="16.5" customHeight="1" x14ac:dyDescent="0.25">
      <c r="A19" s="53" t="s">
        <v>65</v>
      </c>
      <c r="B19" s="2" t="s">
        <v>66</v>
      </c>
      <c r="C19" s="3"/>
      <c r="D19" s="7"/>
      <c r="E19" s="3"/>
      <c r="F19" s="54"/>
      <c r="G19" s="3"/>
      <c r="H19" s="3"/>
      <c r="I19" s="8"/>
      <c r="J19" s="3"/>
      <c r="K19" s="3"/>
      <c r="L19" s="3"/>
      <c r="M19" s="7"/>
      <c r="N19" s="3"/>
    </row>
    <row r="20" spans="1:14" ht="16.5" customHeight="1" x14ac:dyDescent="0.25">
      <c r="A20" s="57" t="s">
        <v>72</v>
      </c>
      <c r="B20" s="3" t="s">
        <v>131</v>
      </c>
      <c r="C20" s="3"/>
      <c r="D20" s="7"/>
      <c r="E20" s="3"/>
      <c r="F20" s="54"/>
      <c r="G20" s="3"/>
      <c r="H20" s="3"/>
      <c r="I20" s="8"/>
      <c r="J20" s="3"/>
      <c r="K20" s="55" t="s">
        <v>123</v>
      </c>
      <c r="L20" s="56">
        <f>IF(L21&lt;&gt;0,IF(L21&gt;1,2+L21-1,2*L21)+L22,IF(L22&gt;1,2+L22-1,2*L22))</f>
        <v>0</v>
      </c>
      <c r="M20" s="27" t="s">
        <v>23</v>
      </c>
      <c r="N20" s="3"/>
    </row>
    <row r="21" spans="1:14" ht="16.5" customHeight="1" x14ac:dyDescent="0.2">
      <c r="A21" s="9"/>
      <c r="B21" s="10" t="s">
        <v>132</v>
      </c>
      <c r="C21" s="10"/>
      <c r="D21" s="35"/>
      <c r="E21" s="3"/>
      <c r="F21" s="54"/>
      <c r="G21" s="3"/>
      <c r="H21" s="3"/>
      <c r="I21" s="8"/>
      <c r="J21" s="3"/>
      <c r="K21" s="19" t="s">
        <v>73</v>
      </c>
      <c r="L21" s="50"/>
      <c r="M21" s="80"/>
      <c r="N21" s="3"/>
    </row>
    <row r="22" spans="1:14" ht="16.5" customHeight="1" x14ac:dyDescent="0.2">
      <c r="A22" s="5"/>
      <c r="B22" s="3"/>
      <c r="C22" s="3"/>
      <c r="D22" s="3"/>
      <c r="E22" s="3"/>
      <c r="F22" s="3"/>
      <c r="G22" s="3"/>
      <c r="H22" s="3"/>
      <c r="I22" s="8"/>
      <c r="J22" s="3"/>
      <c r="K22" s="19" t="s">
        <v>74</v>
      </c>
      <c r="L22" s="50"/>
      <c r="M22" s="80"/>
      <c r="N22" s="3"/>
    </row>
    <row r="23" spans="1:14" ht="16.5" customHeight="1" x14ac:dyDescent="0.2">
      <c r="A23" s="150"/>
      <c r="B23" s="58" t="s">
        <v>156</v>
      </c>
      <c r="C23" s="58" t="s">
        <v>155</v>
      </c>
      <c r="D23" s="59">
        <f>IF(F11&lt;=3,3,IF(AND(F11&lt;=6,F11&gt;3),6,IF(AND(F11&lt;=10,F11&gt;6),10,IF(AND(F11&lt;=15,F11&gt;10),15,IF(AND(F11&lt;=20,F11&gt;15),20,IF(AND(F11&lt;=30,F11&gt;20),30,IF(AND(F11&lt;=50,F11&gt;30),50,"Välj LOA")))))))</f>
        <v>3</v>
      </c>
      <c r="E23" s="60" t="str">
        <f>IF(D23="Välj LOA","","valdes.")</f>
        <v>valdes.</v>
      </c>
      <c r="F23" s="3"/>
      <c r="G23" s="3"/>
      <c r="H23" s="3"/>
      <c r="I23" s="3"/>
      <c r="J23" s="3"/>
      <c r="K23" s="3"/>
      <c r="L23" s="3"/>
      <c r="M23" s="7"/>
      <c r="N23" s="3"/>
    </row>
    <row r="24" spans="1:14" ht="16.5" customHeight="1" x14ac:dyDescent="0.25">
      <c r="A24" s="5"/>
      <c r="F24" s="3"/>
      <c r="G24" s="3"/>
      <c r="H24" s="3"/>
      <c r="I24" s="3"/>
      <c r="K24" s="83" t="s">
        <v>124</v>
      </c>
      <c r="L24" s="33"/>
      <c r="M24" s="7"/>
      <c r="N24" s="3"/>
    </row>
    <row r="25" spans="1:14" ht="16.5" customHeight="1" x14ac:dyDescent="0.2">
      <c r="A25" s="61" t="s">
        <v>75</v>
      </c>
      <c r="B25" s="10"/>
      <c r="C25" s="10"/>
      <c r="D25" s="99" t="s">
        <v>149</v>
      </c>
      <c r="E25" s="10"/>
      <c r="F25" s="10"/>
      <c r="G25" s="10"/>
      <c r="M25" s="7"/>
      <c r="N25" s="3"/>
    </row>
    <row r="26" spans="1:14" ht="16.5" customHeight="1" x14ac:dyDescent="0.2">
      <c r="A26" s="11" t="s">
        <v>146</v>
      </c>
      <c r="B26" s="3"/>
      <c r="C26" s="3"/>
      <c r="D26" s="3"/>
      <c r="E26" s="3"/>
      <c r="F26" s="3"/>
      <c r="G26" s="3"/>
      <c r="I26" s="3"/>
      <c r="M26" s="7"/>
      <c r="N26" s="3"/>
    </row>
    <row r="27" spans="1:14" ht="16.5" customHeight="1" x14ac:dyDescent="0.2">
      <c r="A27" s="11" t="s">
        <v>147</v>
      </c>
      <c r="B27" s="3"/>
      <c r="C27" s="3"/>
      <c r="D27" s="3"/>
      <c r="E27" s="3"/>
      <c r="F27" s="3"/>
      <c r="G27" s="3"/>
      <c r="I27" s="3"/>
      <c r="M27" s="7"/>
      <c r="N27" s="3"/>
    </row>
    <row r="28" spans="1:14" ht="16.5" customHeight="1" x14ac:dyDescent="0.2">
      <c r="A28" s="11" t="s">
        <v>148</v>
      </c>
      <c r="B28" s="3"/>
      <c r="C28" s="3"/>
      <c r="D28" s="3"/>
      <c r="E28" s="3"/>
      <c r="F28" s="3"/>
      <c r="G28" s="3"/>
      <c r="H28" s="3"/>
      <c r="I28" s="3"/>
      <c r="J28" s="3"/>
      <c r="M28" s="35"/>
      <c r="N28" s="3"/>
    </row>
    <row r="29" spans="1:14" ht="16.5" customHeight="1" x14ac:dyDescent="0.2">
      <c r="A29" s="9"/>
      <c r="B29" s="10"/>
      <c r="C29" s="38" t="s">
        <v>78</v>
      </c>
      <c r="D29" s="50" t="s">
        <v>154</v>
      </c>
      <c r="J29" s="3"/>
      <c r="K29" s="67"/>
      <c r="L29" s="2"/>
      <c r="M29" s="31"/>
    </row>
    <row r="30" spans="1:14" ht="16.5" customHeight="1" x14ac:dyDescent="0.2">
      <c r="A30" s="5"/>
      <c r="B30" s="3"/>
      <c r="C30" s="55" t="s">
        <v>144</v>
      </c>
      <c r="D30" s="154">
        <f>IF(D23="Välj LOA","-",IF(D23*O9/F15&lt;0.6,0.6,D23*O9/F15))</f>
        <v>0.6</v>
      </c>
      <c r="E30" s="153" t="s">
        <v>145</v>
      </c>
      <c r="J30" s="3"/>
      <c r="K30" s="5"/>
      <c r="L30" s="3"/>
      <c r="M30" s="7"/>
    </row>
    <row r="31" spans="1:14" ht="16.5" customHeight="1" x14ac:dyDescent="0.2">
      <c r="A31" s="51"/>
      <c r="B31" s="40"/>
      <c r="C31" s="76" t="s">
        <v>157</v>
      </c>
      <c r="D31" s="152"/>
      <c r="E31" s="40"/>
      <c r="F31" s="76" t="s">
        <v>158</v>
      </c>
      <c r="G31" s="156" t="str">
        <f>IF(D31="","",D30/((D31/1000)^2*PI()/4))</f>
        <v/>
      </c>
      <c r="H31" s="155" t="s">
        <v>97</v>
      </c>
      <c r="J31" s="3"/>
      <c r="K31" s="5"/>
      <c r="L31" s="3"/>
      <c r="M31" s="7"/>
    </row>
    <row r="32" spans="1:14" ht="16.5" customHeight="1" x14ac:dyDescent="0.2">
      <c r="A32" s="63" t="str">
        <f>IF(D29="Liten",IF(AND(D29="Liten",D23&lt;=10),"Liten SA får inte användas till BOA / KOA upp till och med NS 10, undantaget för täckta parkeringsytor.",""),IF(AND(D29="Stor",D30&lt;5),"OBS! För automatiska fordonstvättar gäller minsta SA-volym 5 kbm.",""))</f>
        <v/>
      </c>
      <c r="B32" s="10"/>
      <c r="C32" s="10"/>
      <c r="D32" s="10"/>
      <c r="E32" s="10"/>
      <c r="F32" s="10"/>
      <c r="G32" s="10"/>
      <c r="H32" s="10"/>
      <c r="I32" s="10"/>
      <c r="J32" s="10"/>
      <c r="K32" s="9"/>
      <c r="L32" s="18" t="s">
        <v>37</v>
      </c>
      <c r="M32" s="35"/>
    </row>
    <row r="33" spans="1:16" ht="16.5" customHeight="1" x14ac:dyDescent="0.2">
      <c r="H33" s="3"/>
      <c r="I33" s="3"/>
      <c r="J33" s="3"/>
      <c r="L33" s="8" t="s">
        <v>38</v>
      </c>
    </row>
    <row r="34" spans="1:16" ht="16.5" customHeight="1" x14ac:dyDescent="0.2">
      <c r="B34" s="89"/>
      <c r="M34" s="3"/>
    </row>
    <row r="35" spans="1:16" ht="16.5" customHeight="1" x14ac:dyDescent="0.2">
      <c r="A35" s="159"/>
      <c r="B35" s="160" t="s">
        <v>39</v>
      </c>
      <c r="C35" s="40"/>
      <c r="D35" s="161" t="s">
        <v>40</v>
      </c>
      <c r="E35" s="165"/>
      <c r="F35" s="155"/>
      <c r="G35" s="161" t="s">
        <v>41</v>
      </c>
      <c r="H35" s="155"/>
      <c r="I35" s="161" t="s">
        <v>42</v>
      </c>
      <c r="J35" s="163" t="str">
        <f>Qr!K36</f>
        <v>U</v>
      </c>
      <c r="K35" s="166"/>
      <c r="L35" s="166"/>
      <c r="M35" s="167"/>
    </row>
    <row r="36" spans="1:16" ht="16.5" customHeight="1" x14ac:dyDescent="0.2">
      <c r="A36" s="162" t="s">
        <v>43</v>
      </c>
      <c r="B36" s="163" t="str">
        <f>Qr!B37</f>
        <v>G</v>
      </c>
      <c r="C36" s="40"/>
      <c r="D36" s="164" t="str">
        <f>Qr!F37</f>
        <v>J</v>
      </c>
      <c r="E36" s="40"/>
      <c r="F36" s="155"/>
      <c r="G36" s="163" t="str">
        <f>Qr!H37</f>
        <v>I</v>
      </c>
      <c r="H36" s="155"/>
      <c r="I36" s="67"/>
      <c r="J36" s="163" t="str">
        <f>Qr!K37</f>
        <v>L</v>
      </c>
      <c r="K36" s="168"/>
      <c r="L36" s="168"/>
      <c r="M36" s="169"/>
    </row>
    <row r="37" spans="1:16" ht="16.5" customHeight="1" x14ac:dyDescent="0.2">
      <c r="A37" s="162" t="s">
        <v>44</v>
      </c>
      <c r="B37" s="163" t="str">
        <f>Qr!B38</f>
        <v>H</v>
      </c>
      <c r="C37" s="40"/>
      <c r="D37" s="164" t="str">
        <f>Qr!F38</f>
        <v>K</v>
      </c>
      <c r="E37" s="40"/>
      <c r="F37" s="155"/>
      <c r="G37" s="163" t="str">
        <f>Qr!H38</f>
        <v>D</v>
      </c>
      <c r="H37" s="155"/>
      <c r="I37" s="161" t="s">
        <v>45</v>
      </c>
      <c r="J37" s="203">
        <f>Qr!K38</f>
        <v>44544</v>
      </c>
      <c r="K37" s="202"/>
      <c r="L37" s="40"/>
      <c r="M37" s="155"/>
      <c r="O37" s="81"/>
      <c r="P37" s="81"/>
    </row>
    <row r="38" spans="1:16" x14ac:dyDescent="0.2">
      <c r="O38" s="81"/>
      <c r="P38" s="81"/>
    </row>
  </sheetData>
  <sheetProtection algorithmName="SHA-512" hashValue="kaw/0B1+YomostHj31+8ts2IQwEgU3nMCImYJqa3+EIhEYPf9wUODhUOUTMSf/pa8EZHmMuUb0gHOdw1E+KemA==" saltValue="hcoEJb0Kla6Xx/kN+AIwMA==" spinCount="100000" sheet="1" objects="1" scenarios="1"/>
  <mergeCells count="3">
    <mergeCell ref="E1:H1"/>
    <mergeCell ref="A1:D1"/>
    <mergeCell ref="I1:M1"/>
  </mergeCells>
  <phoneticPr fontId="12" type="noConversion"/>
  <dataValidations count="3">
    <dataValidation type="list" allowBlank="1" showInputMessage="1" showErrorMessage="1" sqref="C14" xr:uid="{00000000-0002-0000-0100-000000000000}">
      <formula1>"a),b),c)"</formula1>
    </dataValidation>
    <dataValidation type="list" allowBlank="1" showInputMessage="1" showErrorMessage="1" sqref="F15" xr:uid="{00000000-0002-0000-0100-000001000000}">
      <mc:AlternateContent xmlns:x12ac="http://schemas.microsoft.com/office/spreadsheetml/2011/1/ac" xmlns:mc="http://schemas.openxmlformats.org/markup-compatibility/2006">
        <mc:Choice Requires="x12ac">
          <x12ac:list>"1,0","1,5","2,0","3,0"</x12ac:list>
        </mc:Choice>
        <mc:Fallback>
          <formula1>"1,0,1,5,2,0,3,0"</formula1>
        </mc:Fallback>
      </mc:AlternateContent>
    </dataValidation>
    <dataValidation type="list" allowBlank="1" showInputMessage="1" showErrorMessage="1" sqref="D29" xr:uid="{00000000-0002-0000-0100-000002000000}">
      <formula1>"Liten,Mellan,Stor"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5" orientation="landscape" horizontalDpi="1200" verticalDpi="1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S41"/>
  <sheetViews>
    <sheetView zoomScaleNormal="100" workbookViewId="0">
      <selection activeCell="X6" sqref="X6"/>
    </sheetView>
  </sheetViews>
  <sheetFormatPr defaultColWidth="10.5" defaultRowHeight="12.75" x14ac:dyDescent="0.2"/>
  <cols>
    <col min="1" max="13" width="10.83203125" style="4" customWidth="1"/>
    <col min="14" max="14" width="10.5" style="4"/>
    <col min="15" max="16" width="10.5" style="170" hidden="1" customWidth="1"/>
    <col min="17" max="17" width="10.83203125" style="170" hidden="1" customWidth="1"/>
    <col min="18" max="19" width="10.5" style="4" customWidth="1"/>
    <col min="20" max="16384" width="10.5" style="4"/>
  </cols>
  <sheetData>
    <row r="1" spans="1:19" ht="16.5" customHeight="1" x14ac:dyDescent="0.2">
      <c r="A1" s="190" t="s">
        <v>46</v>
      </c>
      <c r="B1" s="191"/>
      <c r="C1" s="191"/>
      <c r="D1" s="192"/>
      <c r="E1" s="193" t="s">
        <v>161</v>
      </c>
      <c r="F1" s="194"/>
      <c r="G1" s="194"/>
      <c r="H1" s="195"/>
      <c r="I1" s="180" t="s">
        <v>0</v>
      </c>
      <c r="J1" s="181"/>
      <c r="K1" s="181"/>
      <c r="L1" s="181"/>
      <c r="M1" s="182"/>
      <c r="N1" s="43"/>
    </row>
    <row r="2" spans="1:19" ht="16.5" customHeight="1" x14ac:dyDescent="0.2">
      <c r="A2" s="11"/>
      <c r="B2" s="3"/>
      <c r="C2" s="3"/>
      <c r="D2" s="3"/>
      <c r="E2" s="3"/>
      <c r="F2" s="3"/>
      <c r="G2" s="3"/>
      <c r="H2" s="3"/>
      <c r="I2" s="3"/>
      <c r="J2" s="3"/>
      <c r="K2" s="3"/>
      <c r="L2" s="205" t="str">
        <f>Qr!K2</f>
        <v>Dok.ver. 2.0</v>
      </c>
      <c r="M2" s="7"/>
      <c r="N2" s="3"/>
      <c r="O2" s="171">
        <f>IF(K18+L18=0,IF(J18&lt;3,J18*0.5,IF(J18=3,1.35,IF(J18=4,1.6,1.6+(J18-4)*0.1))),"-")</f>
        <v>0</v>
      </c>
      <c r="P2" s="172">
        <f>IF(L18=0,IF(K18&lt;3,K18*1,IF(K18=3,2.7,IF(K18=4,3.2,3.2+(K18-4)*0.2))),"-")</f>
        <v>0</v>
      </c>
      <c r="Q2" s="172">
        <f>IF(L18&lt;3,L18*1.7,IF(L18=3,4.6,IF(L18=4,5.45,5.45+(L18-4)*0.3)))</f>
        <v>0</v>
      </c>
    </row>
    <row r="3" spans="1:19" ht="16.5" customHeight="1" x14ac:dyDescent="0.2">
      <c r="A3" s="44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7"/>
      <c r="N3" s="3"/>
      <c r="O3" s="171" t="str">
        <f>IF(K18+L18=1,IF(J18+1&lt;3,J18*0.5,IF(J18+1=3,0.85,IF(J18+1=4,1.1,1.1+(J18-3)*0.1))),"-")</f>
        <v>-</v>
      </c>
      <c r="P3" s="172" t="str">
        <f>IF(L18=1,IF(K18+1&lt;3,K18*1,IF(K18+1=3,1.7,IF(K18+1=4,2.2,2.2+(K18-3)*0.2))),"-")</f>
        <v>-</v>
      </c>
      <c r="Q3" s="172" t="s">
        <v>48</v>
      </c>
    </row>
    <row r="4" spans="1:19" ht="16.5" customHeight="1" x14ac:dyDescent="0.2">
      <c r="A4" s="5" t="s">
        <v>135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7"/>
      <c r="N4" s="3"/>
      <c r="O4" s="171" t="str">
        <f>IF(K18+L18=2,IF(J18+2&lt;3,J18*0.5,IF(J18+2=3,0.35,IF(J18+2=4,0.6,0.6+(J18-2)*0.1))),"-")</f>
        <v>-</v>
      </c>
      <c r="P4" s="172" t="str">
        <f>IF(L18=2,IF(K18+2&lt;3,K18*1,IF(K18+2=3,0.7,IF(K18+2=4,1.2,1.2+(K18-2)*0.2))),"-")</f>
        <v>-</v>
      </c>
      <c r="Q4" s="172" t="s">
        <v>48</v>
      </c>
    </row>
    <row r="5" spans="1:19" ht="16.5" customHeight="1" x14ac:dyDescent="0.2">
      <c r="A5" s="11" t="s">
        <v>49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7"/>
      <c r="N5" s="3"/>
      <c r="O5" s="171" t="str">
        <f>IF(K18+L18=3,IF(J18+3=3,0,IF(J18+3=4,0.25,0.25+(J18-1)*0.1)),"-")</f>
        <v>-</v>
      </c>
      <c r="P5" s="172" t="str">
        <f>IF(L18=3,IF(K18+3=3,0,IF(K18+3=4,0.5,0.5+(K18-1)*0.2)),"-")</f>
        <v>-</v>
      </c>
      <c r="Q5" s="172" t="s">
        <v>48</v>
      </c>
    </row>
    <row r="6" spans="1:19" ht="16.5" customHeight="1" x14ac:dyDescent="0.2">
      <c r="A6" s="11" t="s">
        <v>50</v>
      </c>
      <c r="B6" s="3"/>
      <c r="C6" s="3"/>
      <c r="D6" s="3"/>
      <c r="E6" s="3"/>
      <c r="F6" s="3"/>
      <c r="G6" s="3"/>
      <c r="H6" s="3"/>
      <c r="I6" s="67" t="s">
        <v>79</v>
      </c>
      <c r="J6" s="2"/>
      <c r="K6" s="2"/>
      <c r="L6" s="2"/>
      <c r="M6" s="31"/>
      <c r="N6" s="3"/>
      <c r="O6" s="173" t="str">
        <f>IF(J18=0,"-",IF(K18+L18&gt;3,J18*0.1,"-"))</f>
        <v>-</v>
      </c>
      <c r="P6" s="174" t="str">
        <f>IF(K18=0,"-",IF(L18&gt;3,K18*0.2,"-"))</f>
        <v>-</v>
      </c>
      <c r="Q6" s="174" t="s">
        <v>48</v>
      </c>
    </row>
    <row r="7" spans="1:19" ht="16.5" customHeight="1" x14ac:dyDescent="0.2">
      <c r="A7" s="11" t="s">
        <v>51</v>
      </c>
      <c r="B7" s="3"/>
      <c r="C7" s="3"/>
      <c r="D7" s="3"/>
      <c r="E7" s="3"/>
      <c r="F7" s="3"/>
      <c r="G7" s="3"/>
      <c r="H7" s="3"/>
      <c r="I7" s="9" t="s">
        <v>80</v>
      </c>
      <c r="J7" s="10"/>
      <c r="K7" s="158"/>
      <c r="L7" s="158"/>
      <c r="M7" s="175"/>
      <c r="N7" s="3"/>
    </row>
    <row r="8" spans="1:19" ht="16.5" customHeight="1" x14ac:dyDescent="0.2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1"/>
      <c r="N8" s="3"/>
      <c r="O8" s="81">
        <v>1</v>
      </c>
      <c r="P8" s="176"/>
      <c r="Q8" s="176">
        <f>IF(O8=2,(F12+F14*F13)*F15,(F12+F14*F13)*F15*2)</f>
        <v>0</v>
      </c>
    </row>
    <row r="9" spans="1:19" ht="16.5" customHeight="1" x14ac:dyDescent="0.25">
      <c r="A9" s="5"/>
      <c r="B9" s="45" t="s">
        <v>52</v>
      </c>
      <c r="C9" s="3"/>
      <c r="D9" s="3"/>
      <c r="E9" s="3"/>
      <c r="F9" s="43"/>
      <c r="G9" s="43"/>
      <c r="H9" s="43"/>
      <c r="I9" s="46" t="s">
        <v>53</v>
      </c>
      <c r="J9" s="3"/>
      <c r="K9" s="3"/>
      <c r="L9" s="3"/>
      <c r="M9" s="7"/>
      <c r="N9" s="3"/>
      <c r="O9" s="81">
        <f>IF(D29="Liten",0.1,IF(D29="Mellan",0.2,0.3))</f>
        <v>0.1</v>
      </c>
      <c r="P9" s="176"/>
      <c r="Q9" s="176">
        <f>IF(O8=1,IF(B23=1200,11,IF(B23=1500,19,IF(B23=2000,39,IF(B23=2500,58,IF(B23=2800,97,IF(B23=3500,156,"-")))))),0)</f>
        <v>11</v>
      </c>
    </row>
    <row r="10" spans="1:19" ht="16.5" customHeight="1" x14ac:dyDescent="0.2">
      <c r="A10" s="5"/>
      <c r="B10" s="3"/>
      <c r="C10" s="3"/>
      <c r="D10" s="3"/>
      <c r="E10" s="3"/>
      <c r="F10" s="3"/>
      <c r="G10" s="3"/>
      <c r="H10" s="3"/>
      <c r="I10" s="3" t="s">
        <v>54</v>
      </c>
      <c r="J10" s="3"/>
      <c r="K10" s="3"/>
      <c r="L10" s="3"/>
      <c r="M10" s="7"/>
      <c r="N10" s="3"/>
      <c r="O10" s="81"/>
      <c r="P10" s="176"/>
      <c r="Q10" s="176">
        <f>IF(O8=2,IF(B23=1200,23,IF(B23=1500,39,IF(B23=2000,78,IF(B23=2500,117,IF(B23=2800,195,IF(B23=3500,312,"-")))))),0)</f>
        <v>0</v>
      </c>
      <c r="R10" s="64"/>
      <c r="S10" s="64"/>
    </row>
    <row r="11" spans="1:19" ht="16.5" customHeight="1" x14ac:dyDescent="0.25">
      <c r="A11" s="9" t="s">
        <v>55</v>
      </c>
      <c r="B11" s="10"/>
      <c r="C11" s="10"/>
      <c r="D11" s="10"/>
      <c r="E11" s="47" t="s">
        <v>56</v>
      </c>
      <c r="F11" s="48">
        <f>(F12+F13*F14)*F15</f>
        <v>0</v>
      </c>
      <c r="G11" s="47" t="s">
        <v>23</v>
      </c>
      <c r="H11" s="3"/>
      <c r="I11" s="46" t="s">
        <v>57</v>
      </c>
      <c r="J11" s="3"/>
      <c r="K11" s="3"/>
      <c r="L11" s="3"/>
      <c r="M11" s="7"/>
      <c r="N11" s="3"/>
      <c r="O11" s="81"/>
      <c r="P11" s="177"/>
      <c r="R11" s="65"/>
      <c r="S11" s="64"/>
    </row>
    <row r="12" spans="1:19" ht="16.5" customHeight="1" x14ac:dyDescent="0.25">
      <c r="A12" s="9" t="s">
        <v>58</v>
      </c>
      <c r="B12" s="10"/>
      <c r="C12" s="10"/>
      <c r="D12" s="10"/>
      <c r="E12" s="47"/>
      <c r="F12" s="49">
        <f>Qr!J15</f>
        <v>0</v>
      </c>
      <c r="G12" s="16"/>
      <c r="H12" s="3"/>
      <c r="I12" s="3" t="s">
        <v>59</v>
      </c>
      <c r="J12" s="3"/>
      <c r="K12" s="3"/>
      <c r="L12" s="3"/>
      <c r="M12" s="7"/>
      <c r="N12" s="3"/>
      <c r="O12" s="81"/>
      <c r="P12" s="177"/>
      <c r="R12" s="65"/>
      <c r="S12" s="64"/>
    </row>
    <row r="13" spans="1:19" ht="16.5" customHeight="1" x14ac:dyDescent="0.25">
      <c r="A13" s="9" t="s">
        <v>60</v>
      </c>
      <c r="B13" s="10"/>
      <c r="C13" s="10"/>
      <c r="D13" s="10"/>
      <c r="E13" s="10"/>
      <c r="F13" s="49">
        <f>L16+L20+L24</f>
        <v>0</v>
      </c>
      <c r="G13" s="3"/>
      <c r="H13" s="3"/>
      <c r="I13" s="46" t="s">
        <v>61</v>
      </c>
      <c r="J13" s="3"/>
      <c r="K13" s="3"/>
      <c r="L13" s="3"/>
      <c r="M13" s="7"/>
      <c r="N13" s="3"/>
      <c r="O13" s="81"/>
      <c r="P13" s="177"/>
      <c r="Q13" s="177"/>
      <c r="R13" s="65"/>
      <c r="S13" s="64"/>
    </row>
    <row r="14" spans="1:19" ht="16.5" customHeight="1" x14ac:dyDescent="0.25">
      <c r="A14" s="9"/>
      <c r="B14" s="38" t="s">
        <v>62</v>
      </c>
      <c r="C14" s="50" t="s">
        <v>153</v>
      </c>
      <c r="D14" s="51"/>
      <c r="E14" s="52" t="s">
        <v>63</v>
      </c>
      <c r="F14" s="49">
        <f>IF(C14="b)",0,IF(C14="c)",1,2))</f>
        <v>0</v>
      </c>
      <c r="G14" s="3"/>
      <c r="H14" s="3"/>
      <c r="I14" s="3" t="s">
        <v>64</v>
      </c>
      <c r="J14" s="3"/>
      <c r="K14" s="3"/>
      <c r="L14" s="3"/>
      <c r="M14" s="7"/>
      <c r="N14" s="3"/>
      <c r="O14" s="81"/>
      <c r="P14" s="177"/>
      <c r="Q14" s="177"/>
      <c r="R14" s="65"/>
      <c r="S14" s="64"/>
    </row>
    <row r="15" spans="1:19" ht="16.5" customHeight="1" x14ac:dyDescent="0.25">
      <c r="A15" s="5"/>
      <c r="B15" s="3"/>
      <c r="C15" s="3"/>
      <c r="D15" s="3"/>
      <c r="E15" s="19" t="s">
        <v>121</v>
      </c>
      <c r="F15" s="33">
        <v>1.5</v>
      </c>
      <c r="G15" s="3"/>
      <c r="H15" s="3"/>
      <c r="I15" s="3"/>
      <c r="J15" s="3"/>
      <c r="K15" s="3"/>
      <c r="L15" s="3"/>
      <c r="M15" s="7"/>
      <c r="N15" s="3"/>
      <c r="O15" s="81"/>
      <c r="P15" s="177"/>
      <c r="Q15" s="177"/>
      <c r="R15" s="65"/>
      <c r="S15" s="64"/>
    </row>
    <row r="16" spans="1:19" ht="16.5" customHeight="1" x14ac:dyDescent="0.25">
      <c r="A16" s="53" t="s">
        <v>65</v>
      </c>
      <c r="B16" s="2" t="s">
        <v>66</v>
      </c>
      <c r="C16" s="2"/>
      <c r="D16" s="31"/>
      <c r="E16" s="2"/>
      <c r="F16" s="66"/>
      <c r="G16" s="3"/>
      <c r="H16" s="3"/>
      <c r="I16" s="3"/>
      <c r="J16" s="3"/>
      <c r="K16" s="55" t="s">
        <v>122</v>
      </c>
      <c r="L16" s="56">
        <f>SUM(O2:O6)+SUM(P2:P6)+SUM(Q2:Q6)</f>
        <v>0</v>
      </c>
      <c r="M16" s="27" t="s">
        <v>23</v>
      </c>
      <c r="N16" s="3"/>
      <c r="O16" s="178"/>
      <c r="P16" s="177"/>
      <c r="Q16" s="177"/>
      <c r="R16" s="65"/>
      <c r="S16" s="64"/>
    </row>
    <row r="17" spans="1:19" ht="16.5" customHeight="1" x14ac:dyDescent="0.2">
      <c r="A17" s="57" t="s">
        <v>82</v>
      </c>
      <c r="B17" s="3" t="s">
        <v>129</v>
      </c>
      <c r="C17" s="3"/>
      <c r="D17" s="7"/>
      <c r="E17" s="3"/>
      <c r="F17" s="54"/>
      <c r="G17" s="3"/>
      <c r="H17" s="3"/>
      <c r="I17" s="8"/>
      <c r="J17" s="8" t="s">
        <v>68</v>
      </c>
      <c r="K17" s="8" t="s">
        <v>69</v>
      </c>
      <c r="L17" s="8" t="s">
        <v>70</v>
      </c>
      <c r="M17" s="7"/>
      <c r="N17" s="3"/>
      <c r="O17" s="178"/>
      <c r="P17" s="177"/>
      <c r="Q17" s="177"/>
      <c r="R17" s="65"/>
      <c r="S17" s="64"/>
    </row>
    <row r="18" spans="1:19" ht="16.5" customHeight="1" x14ac:dyDescent="0.2">
      <c r="A18" s="9"/>
      <c r="B18" s="10" t="s">
        <v>130</v>
      </c>
      <c r="C18" s="10"/>
      <c r="D18" s="35"/>
      <c r="E18" s="3"/>
      <c r="F18" s="54"/>
      <c r="G18" s="3"/>
      <c r="H18" s="3"/>
      <c r="I18" s="8" t="s">
        <v>71</v>
      </c>
      <c r="J18" s="50"/>
      <c r="K18" s="50"/>
      <c r="L18" s="50"/>
      <c r="M18" s="7"/>
      <c r="N18" s="3"/>
    </row>
    <row r="19" spans="1:19" ht="16.5" customHeight="1" x14ac:dyDescent="0.25">
      <c r="A19" s="53" t="s">
        <v>65</v>
      </c>
      <c r="B19" s="2" t="s">
        <v>66</v>
      </c>
      <c r="C19" s="2"/>
      <c r="D19" s="31"/>
      <c r="E19" s="3"/>
      <c r="F19" s="54"/>
      <c r="G19" s="3"/>
      <c r="H19" s="3"/>
      <c r="I19" s="8"/>
      <c r="J19" s="3"/>
      <c r="K19" s="3"/>
      <c r="L19" s="3"/>
      <c r="M19" s="7"/>
      <c r="N19" s="3"/>
      <c r="R19" s="85"/>
      <c r="S19" s="86"/>
    </row>
    <row r="20" spans="1:19" ht="16.5" customHeight="1" x14ac:dyDescent="0.25">
      <c r="A20" s="57" t="s">
        <v>83</v>
      </c>
      <c r="B20" s="3" t="s">
        <v>131</v>
      </c>
      <c r="C20" s="3"/>
      <c r="D20" s="7"/>
      <c r="E20" s="3"/>
      <c r="F20" s="54"/>
      <c r="G20" s="3"/>
      <c r="H20" s="3"/>
      <c r="I20" s="8"/>
      <c r="J20" s="3"/>
      <c r="K20" s="55" t="s">
        <v>123</v>
      </c>
      <c r="L20" s="56">
        <f>IF(L21&lt;&gt;0,IF(L21&gt;1,2+L21-1,2*L21)+L22,IF(L22&gt;1,2+L22-1,2*L22))</f>
        <v>0</v>
      </c>
      <c r="M20" s="27" t="s">
        <v>23</v>
      </c>
      <c r="N20" s="3"/>
      <c r="R20" s="85"/>
      <c r="S20" s="86"/>
    </row>
    <row r="21" spans="1:19" ht="16.5" customHeight="1" x14ac:dyDescent="0.2">
      <c r="A21" s="9"/>
      <c r="B21" s="10" t="s">
        <v>132</v>
      </c>
      <c r="C21" s="10"/>
      <c r="D21" s="35"/>
      <c r="E21" s="3"/>
      <c r="F21" s="54"/>
      <c r="G21" s="3"/>
      <c r="H21" s="3"/>
      <c r="I21" s="8"/>
      <c r="J21" s="3"/>
      <c r="K21" s="19" t="s">
        <v>73</v>
      </c>
      <c r="L21" s="50"/>
      <c r="M21" s="80"/>
      <c r="N21" s="3"/>
    </row>
    <row r="22" spans="1:19" ht="16.5" customHeight="1" x14ac:dyDescent="0.2">
      <c r="A22" s="5"/>
      <c r="B22" s="3"/>
      <c r="C22" s="3"/>
      <c r="D22" s="3"/>
      <c r="E22" s="3"/>
      <c r="F22" s="3"/>
      <c r="G22" s="3"/>
      <c r="H22" s="3"/>
      <c r="I22" s="8"/>
      <c r="J22" s="3"/>
      <c r="K22" s="19" t="s">
        <v>74</v>
      </c>
      <c r="L22" s="50"/>
      <c r="M22" s="80"/>
      <c r="N22" s="3"/>
    </row>
    <row r="23" spans="1:19" ht="16.5" customHeight="1" x14ac:dyDescent="0.2">
      <c r="A23" s="151" t="s">
        <v>81</v>
      </c>
      <c r="B23" s="59">
        <f>IF(Q8&lt;=23,1200,IF(AND(Q8&lt;=39,Q8&gt;23),1500,IF(AND(Q8&lt;=78,Q8&gt;39),2000,IF(AND(Q8&lt;=117,Q8&gt;78),2500,IF(AND(Q8&lt;=195,Q8&gt;117),2800,IF(AND(Q8&lt;=312,Q8&gt;195),3500,"Finns ej"))))))</f>
        <v>1200</v>
      </c>
      <c r="C23" s="58" t="s">
        <v>155</v>
      </c>
      <c r="D23" s="102">
        <f>IF(B23="Finns ej","-",Q9+Q10)</f>
        <v>11</v>
      </c>
      <c r="E23" s="60" t="str">
        <f>IF(B23="FINNS EJ","","valdes.")</f>
        <v>valdes.</v>
      </c>
      <c r="H23" s="3"/>
      <c r="I23" s="3"/>
      <c r="J23" s="3"/>
      <c r="K23" s="3"/>
      <c r="L23" s="3"/>
      <c r="M23" s="7"/>
      <c r="N23" s="3"/>
    </row>
    <row r="24" spans="1:19" ht="16.5" customHeight="1" x14ac:dyDescent="0.25">
      <c r="A24" s="5"/>
      <c r="B24" s="3"/>
      <c r="C24" s="3"/>
      <c r="D24" s="3"/>
      <c r="E24" s="3"/>
      <c r="F24" s="3"/>
      <c r="G24" s="3"/>
      <c r="H24" s="3"/>
      <c r="I24" s="3"/>
      <c r="K24" s="83" t="s">
        <v>124</v>
      </c>
      <c r="L24" s="33"/>
      <c r="M24" s="7"/>
      <c r="N24" s="3"/>
    </row>
    <row r="25" spans="1:19" ht="16.5" customHeight="1" x14ac:dyDescent="0.2">
      <c r="A25" s="61" t="s">
        <v>125</v>
      </c>
      <c r="B25" s="10"/>
      <c r="C25" s="10"/>
      <c r="D25" s="10"/>
      <c r="E25" s="10"/>
      <c r="F25" s="10"/>
      <c r="G25" s="10"/>
      <c r="H25" s="3"/>
      <c r="I25" s="3"/>
      <c r="L25" s="3"/>
      <c r="M25" s="7"/>
      <c r="N25" s="3"/>
    </row>
    <row r="26" spans="1:19" ht="16.5" customHeight="1" x14ac:dyDescent="0.2">
      <c r="A26" s="11" t="s">
        <v>146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7"/>
      <c r="N26" s="3"/>
    </row>
    <row r="27" spans="1:19" ht="16.5" customHeight="1" x14ac:dyDescent="0.2">
      <c r="A27" s="11" t="s">
        <v>147</v>
      </c>
      <c r="B27" s="3"/>
      <c r="C27" s="3"/>
      <c r="D27" s="3"/>
      <c r="E27" s="3"/>
      <c r="F27" s="3"/>
      <c r="G27" s="3"/>
      <c r="H27" s="3"/>
      <c r="I27" s="3"/>
      <c r="J27" s="3"/>
      <c r="K27" s="68"/>
      <c r="L27" s="68"/>
      <c r="M27" s="69"/>
      <c r="N27" s="3"/>
    </row>
    <row r="28" spans="1:19" ht="16.5" customHeight="1" x14ac:dyDescent="0.2">
      <c r="A28" s="11" t="s">
        <v>148</v>
      </c>
      <c r="B28" s="3"/>
      <c r="C28" s="3"/>
      <c r="D28" s="3"/>
      <c r="E28" s="3"/>
      <c r="F28" s="3"/>
      <c r="G28" s="3"/>
      <c r="H28" s="3"/>
      <c r="I28" s="3"/>
      <c r="J28" s="3"/>
      <c r="K28" s="105"/>
      <c r="L28" s="105"/>
      <c r="M28" s="106"/>
      <c r="N28" s="3"/>
    </row>
    <row r="29" spans="1:19" ht="16.5" customHeight="1" x14ac:dyDescent="0.2">
      <c r="A29" s="9"/>
      <c r="B29" s="10"/>
      <c r="C29" s="38" t="s">
        <v>78</v>
      </c>
      <c r="D29" s="50" t="s">
        <v>126</v>
      </c>
      <c r="J29" s="3"/>
      <c r="K29" s="5"/>
      <c r="L29" s="3"/>
      <c r="M29" s="7"/>
      <c r="N29" s="3"/>
    </row>
    <row r="30" spans="1:19" ht="16.5" customHeight="1" x14ac:dyDescent="0.2">
      <c r="A30" s="9"/>
      <c r="B30" s="10"/>
      <c r="C30" s="62" t="s">
        <v>144</v>
      </c>
      <c r="D30" s="101">
        <f>IF(B23="Finns ej","-",IF(D23*O9/F15&lt;0.6,0.6,D23*O9/F15))</f>
        <v>0.73333333333333339</v>
      </c>
      <c r="E30" s="100" t="s">
        <v>145</v>
      </c>
      <c r="F30" s="3"/>
      <c r="G30" s="3"/>
      <c r="J30" s="3"/>
      <c r="K30" s="5"/>
      <c r="L30" s="3"/>
      <c r="M30" s="7"/>
    </row>
    <row r="31" spans="1:19" ht="16.5" customHeight="1" x14ac:dyDescent="0.2">
      <c r="A31" s="51"/>
      <c r="B31" s="40"/>
      <c r="C31" s="76" t="s">
        <v>157</v>
      </c>
      <c r="D31" s="152"/>
      <c r="E31" s="40"/>
      <c r="F31" s="76" t="s">
        <v>158</v>
      </c>
      <c r="G31" s="156" t="str">
        <f>IF(D31="","",D30/((D31/1000)^2*PI()/4))</f>
        <v/>
      </c>
      <c r="H31" s="155" t="s">
        <v>97</v>
      </c>
      <c r="J31" s="3"/>
      <c r="K31" s="5"/>
      <c r="L31" s="3"/>
      <c r="M31" s="7"/>
      <c r="O31" s="179"/>
    </row>
    <row r="32" spans="1:19" ht="16.5" customHeight="1" x14ac:dyDescent="0.2">
      <c r="A32" s="63" t="str">
        <f>IF(D29="Liten",IF(AND(D29="Liten",D23&lt;=10),"Liten SA får inte användas till LOA upp till och med NS 10, undantaget för täckta parkeringsytor.",""),IF(AND(D29="Stor",D30&lt;5),"OBS! För automatiska fordonstvättar gäller minsta SA-volym 5 kbm.",""))</f>
        <v/>
      </c>
      <c r="B32" s="10"/>
      <c r="C32" s="10"/>
      <c r="D32" s="10"/>
      <c r="E32" s="10"/>
      <c r="F32" s="10"/>
      <c r="G32" s="10"/>
      <c r="H32" s="10"/>
      <c r="I32" s="10"/>
      <c r="J32" s="10"/>
      <c r="K32" s="9"/>
      <c r="L32" s="18" t="s">
        <v>37</v>
      </c>
      <c r="M32" s="35"/>
      <c r="O32" s="179"/>
    </row>
    <row r="33" spans="1:15" ht="16.5" customHeight="1" x14ac:dyDescent="0.2">
      <c r="J33" s="3"/>
      <c r="L33" s="8" t="s">
        <v>38</v>
      </c>
      <c r="O33" s="179"/>
    </row>
    <row r="34" spans="1:15" ht="16.5" customHeight="1" x14ac:dyDescent="0.2">
      <c r="B34" s="89"/>
      <c r="M34" s="3"/>
      <c r="O34" s="179"/>
    </row>
    <row r="35" spans="1:15" ht="16.5" customHeight="1" x14ac:dyDescent="0.2">
      <c r="A35" s="159"/>
      <c r="B35" s="160" t="s">
        <v>39</v>
      </c>
      <c r="C35" s="40"/>
      <c r="D35" s="161" t="s">
        <v>40</v>
      </c>
      <c r="E35" s="165"/>
      <c r="F35" s="155"/>
      <c r="G35" s="161" t="s">
        <v>41</v>
      </c>
      <c r="H35" s="155"/>
      <c r="I35" s="161" t="s">
        <v>42</v>
      </c>
      <c r="J35" s="163" t="str">
        <f>Qr!K36</f>
        <v>U</v>
      </c>
      <c r="K35" s="166"/>
      <c r="L35" s="166"/>
      <c r="M35" s="167"/>
      <c r="O35" s="179"/>
    </row>
    <row r="36" spans="1:15" ht="16.5" customHeight="1" x14ac:dyDescent="0.2">
      <c r="A36" s="162" t="s">
        <v>43</v>
      </c>
      <c r="B36" s="163" t="str">
        <f>Qr!B37</f>
        <v>G</v>
      </c>
      <c r="C36" s="40"/>
      <c r="D36" s="164" t="str">
        <f>Qr!F37</f>
        <v>J</v>
      </c>
      <c r="E36" s="40"/>
      <c r="F36" s="155"/>
      <c r="G36" s="163" t="str">
        <f>Qr!H37</f>
        <v>I</v>
      </c>
      <c r="H36" s="155"/>
      <c r="I36" s="67"/>
      <c r="J36" s="163" t="str">
        <f>Qr!K37</f>
        <v>L</v>
      </c>
      <c r="K36" s="168"/>
      <c r="L36" s="168"/>
      <c r="M36" s="169"/>
      <c r="O36" s="179"/>
    </row>
    <row r="37" spans="1:15" ht="16.5" customHeight="1" x14ac:dyDescent="0.2">
      <c r="A37" s="162" t="s">
        <v>44</v>
      </c>
      <c r="B37" s="163" t="str">
        <f>Qr!B38</f>
        <v>H</v>
      </c>
      <c r="C37" s="40"/>
      <c r="D37" s="164" t="str">
        <f>Qr!F38</f>
        <v>K</v>
      </c>
      <c r="E37" s="40"/>
      <c r="F37" s="155"/>
      <c r="G37" s="163" t="str">
        <f>Qr!H38</f>
        <v>D</v>
      </c>
      <c r="H37" s="155"/>
      <c r="I37" s="161" t="s">
        <v>45</v>
      </c>
      <c r="J37" s="203">
        <f>Qr!K38</f>
        <v>44544</v>
      </c>
      <c r="K37" s="40"/>
      <c r="L37" s="40"/>
      <c r="M37" s="155"/>
      <c r="O37" s="179"/>
    </row>
    <row r="38" spans="1:15" x14ac:dyDescent="0.2">
      <c r="O38" s="179"/>
    </row>
    <row r="39" spans="1:15" x14ac:dyDescent="0.2">
      <c r="O39" s="179"/>
    </row>
    <row r="40" spans="1:15" x14ac:dyDescent="0.2">
      <c r="H40" s="3"/>
      <c r="I40" s="3"/>
      <c r="J40" s="3"/>
      <c r="K40" s="3"/>
      <c r="L40" s="3"/>
      <c r="M40" s="3"/>
      <c r="N40" s="3"/>
      <c r="O40" s="179"/>
    </row>
    <row r="41" spans="1:15" x14ac:dyDescent="0.2">
      <c r="H41" s="3"/>
      <c r="I41" s="3"/>
      <c r="J41" s="3"/>
      <c r="K41" s="3"/>
      <c r="L41" s="3"/>
      <c r="M41" s="3"/>
      <c r="N41" s="3"/>
      <c r="O41" s="179"/>
    </row>
  </sheetData>
  <sheetProtection algorithmName="SHA-512" hashValue="84b0FUFodf5/VrCvUxIxqKk3xFpqR39gwIWOObjrfHXNAv/ftMcTXx6raNWVizDD5AZ0D9EjtJIgm0BbMlm9Bw==" saltValue="cZ2pAss8PCZBFRg97I12kA==" spinCount="100000" sheet="1" objects="1" scenarios="1"/>
  <mergeCells count="3">
    <mergeCell ref="A1:D1"/>
    <mergeCell ref="E1:H1"/>
    <mergeCell ref="I1:M1"/>
  </mergeCells>
  <phoneticPr fontId="12" type="noConversion"/>
  <dataValidations count="3">
    <dataValidation type="list" allowBlank="1" showInputMessage="1" showErrorMessage="1" sqref="C14" xr:uid="{00000000-0002-0000-0200-000000000000}">
      <formula1>"a),b),c)"</formula1>
    </dataValidation>
    <dataValidation type="list" allowBlank="1" showInputMessage="1" showErrorMessage="1" sqref="D29" xr:uid="{00000000-0002-0000-0200-000001000000}">
      <formula1>"Liten,Mellan,Stor"</formula1>
    </dataValidation>
    <dataValidation type="list" allowBlank="1" showInputMessage="1" showErrorMessage="1" sqref="F15" xr:uid="{00000000-0002-0000-0200-000002000000}">
      <mc:AlternateContent xmlns:x12ac="http://schemas.microsoft.com/office/spreadsheetml/2011/1/ac" xmlns:mc="http://schemas.openxmlformats.org/markup-compatibility/2006">
        <mc:Choice Requires="x12ac">
          <x12ac:list>"1,0","1,5","2,0","3,0"</x12ac:list>
        </mc:Choice>
        <mc:Fallback>
          <formula1>"1,0,1,5,2,0,3,0"</formula1>
        </mc:Fallback>
      </mc:AlternateContent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5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Option Button 9">
              <controlPr defaultSize="0" autoFill="0" autoLine="0" autoPict="0">
                <anchor moveWithCells="1">
                  <from>
                    <xdr:col>10</xdr:col>
                    <xdr:colOff>304800</xdr:colOff>
                    <xdr:row>5</xdr:row>
                    <xdr:rowOff>152400</xdr:rowOff>
                  </from>
                  <to>
                    <xdr:col>11</xdr:col>
                    <xdr:colOff>285750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Option Button 10">
              <controlPr defaultSize="0" autoFill="0" autoLine="0" autoPict="0">
                <anchor moveWithCells="1">
                  <from>
                    <xdr:col>11</xdr:col>
                    <xdr:colOff>361950</xdr:colOff>
                    <xdr:row>5</xdr:row>
                    <xdr:rowOff>152400</xdr:rowOff>
                  </from>
                  <to>
                    <xdr:col>12</xdr:col>
                    <xdr:colOff>342900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7">
    <pageSetUpPr fitToPage="1"/>
  </sheetPr>
  <dimension ref="A1:K41"/>
  <sheetViews>
    <sheetView zoomScaleNormal="100" workbookViewId="0">
      <selection activeCell="B21" sqref="B21"/>
    </sheetView>
  </sheetViews>
  <sheetFormatPr defaultRowHeight="12.75" x14ac:dyDescent="0.2"/>
  <cols>
    <col min="1" max="1" width="3.1640625" style="133" customWidth="1"/>
    <col min="2" max="2" width="30" style="116" customWidth="1"/>
    <col min="3" max="3" width="19.5" style="116" bestFit="1" customWidth="1"/>
    <col min="4" max="10" width="14.83203125" style="116" customWidth="1"/>
    <col min="11" max="16384" width="9.33203125" style="116"/>
  </cols>
  <sheetData>
    <row r="1" spans="1:9" x14ac:dyDescent="0.2">
      <c r="A1" s="198" t="s">
        <v>162</v>
      </c>
      <c r="B1" s="199"/>
      <c r="C1" s="200"/>
      <c r="D1" s="114"/>
      <c r="E1" s="115" t="s">
        <v>84</v>
      </c>
      <c r="F1" s="113"/>
      <c r="G1" s="114"/>
      <c r="H1" s="115" t="s">
        <v>85</v>
      </c>
      <c r="I1" s="113"/>
    </row>
    <row r="2" spans="1:9" x14ac:dyDescent="0.2">
      <c r="A2" s="119"/>
      <c r="C2" s="118"/>
      <c r="D2" s="117" t="s">
        <v>87</v>
      </c>
      <c r="E2" s="119" t="s">
        <v>88</v>
      </c>
      <c r="F2" s="120" t="s">
        <v>89</v>
      </c>
      <c r="G2" s="117" t="s">
        <v>87</v>
      </c>
      <c r="H2" s="119" t="s">
        <v>88</v>
      </c>
      <c r="I2" s="120" t="s">
        <v>89</v>
      </c>
    </row>
    <row r="3" spans="1:9" x14ac:dyDescent="0.2">
      <c r="A3" s="124"/>
      <c r="B3" s="157" t="s">
        <v>86</v>
      </c>
      <c r="C3" s="123"/>
      <c r="D3" s="121" t="s">
        <v>90</v>
      </c>
      <c r="E3" s="124" t="s">
        <v>91</v>
      </c>
      <c r="F3" s="125" t="s">
        <v>92</v>
      </c>
      <c r="G3" s="121" t="s">
        <v>90</v>
      </c>
      <c r="H3" s="124" t="s">
        <v>91</v>
      </c>
      <c r="I3" s="125" t="s">
        <v>92</v>
      </c>
    </row>
    <row r="4" spans="1:9" x14ac:dyDescent="0.2">
      <c r="A4" s="117">
        <v>1</v>
      </c>
      <c r="B4" s="126" t="s">
        <v>93</v>
      </c>
      <c r="C4" s="118"/>
      <c r="D4" s="127"/>
      <c r="E4" s="128">
        <v>300</v>
      </c>
      <c r="F4" s="129">
        <v>250</v>
      </c>
      <c r="G4" s="130"/>
      <c r="H4" s="131">
        <v>0.5</v>
      </c>
      <c r="I4" s="132">
        <v>0.9</v>
      </c>
    </row>
    <row r="5" spans="1:9" x14ac:dyDescent="0.2">
      <c r="A5" s="117">
        <v>2</v>
      </c>
      <c r="B5" s="126" t="s">
        <v>94</v>
      </c>
      <c r="C5" s="118"/>
      <c r="D5" s="127">
        <v>400</v>
      </c>
      <c r="E5" s="128">
        <v>280</v>
      </c>
      <c r="F5" s="129">
        <v>200</v>
      </c>
      <c r="G5" s="130">
        <v>0.4</v>
      </c>
      <c r="H5" s="131">
        <v>0.5</v>
      </c>
      <c r="I5" s="132">
        <v>0.9</v>
      </c>
    </row>
    <row r="6" spans="1:9" x14ac:dyDescent="0.2">
      <c r="A6" s="117">
        <v>3</v>
      </c>
      <c r="B6" s="126" t="s">
        <v>95</v>
      </c>
      <c r="C6" s="118"/>
      <c r="D6" s="127"/>
      <c r="E6" s="128">
        <v>1500</v>
      </c>
      <c r="F6" s="129">
        <v>1200</v>
      </c>
      <c r="G6" s="130"/>
      <c r="H6" s="131">
        <v>1.5</v>
      </c>
      <c r="I6" s="132">
        <v>1.7</v>
      </c>
    </row>
    <row r="7" spans="1:9" x14ac:dyDescent="0.2">
      <c r="A7" s="117">
        <v>4</v>
      </c>
      <c r="B7" s="126" t="s">
        <v>96</v>
      </c>
      <c r="C7" s="118"/>
      <c r="D7" s="127"/>
      <c r="E7" s="128"/>
      <c r="F7" s="129"/>
      <c r="G7" s="130"/>
      <c r="H7" s="131"/>
      <c r="I7" s="132"/>
    </row>
    <row r="8" spans="1:9" x14ac:dyDescent="0.2">
      <c r="A8" s="117"/>
      <c r="B8" s="126"/>
      <c r="C8" s="118" t="s">
        <v>98</v>
      </c>
      <c r="D8" s="127"/>
      <c r="E8" s="128"/>
      <c r="F8" s="129">
        <v>1200</v>
      </c>
      <c r="G8" s="130"/>
      <c r="H8" s="131"/>
      <c r="I8" s="132">
        <v>2.9</v>
      </c>
    </row>
    <row r="9" spans="1:9" x14ac:dyDescent="0.2">
      <c r="A9" s="117"/>
      <c r="B9" s="126"/>
      <c r="C9" s="118" t="s">
        <v>99</v>
      </c>
      <c r="D9" s="127">
        <v>1800</v>
      </c>
      <c r="E9" s="128">
        <v>1600</v>
      </c>
      <c r="F9" s="129">
        <v>1400</v>
      </c>
      <c r="G9" s="130">
        <v>1.5</v>
      </c>
      <c r="H9" s="131">
        <v>1.9</v>
      </c>
      <c r="I9" s="132">
        <v>2.9</v>
      </c>
    </row>
    <row r="10" spans="1:9" x14ac:dyDescent="0.2">
      <c r="A10" s="117">
        <v>5</v>
      </c>
      <c r="B10" s="126" t="s">
        <v>100</v>
      </c>
      <c r="C10" s="118"/>
      <c r="D10" s="127"/>
      <c r="E10" s="128"/>
      <c r="F10" s="129"/>
      <c r="G10" s="130"/>
      <c r="H10" s="131"/>
      <c r="I10" s="132"/>
    </row>
    <row r="11" spans="1:9" x14ac:dyDescent="0.2">
      <c r="A11" s="117"/>
      <c r="B11" s="126"/>
      <c r="C11" s="118" t="s">
        <v>98</v>
      </c>
      <c r="D11" s="127"/>
      <c r="E11" s="128"/>
      <c r="F11" s="129">
        <v>300</v>
      </c>
      <c r="G11" s="130"/>
      <c r="H11" s="131"/>
      <c r="I11" s="132">
        <v>0.8</v>
      </c>
    </row>
    <row r="12" spans="1:9" x14ac:dyDescent="0.2">
      <c r="A12" s="117"/>
      <c r="B12" s="126"/>
      <c r="C12" s="118" t="s">
        <v>99</v>
      </c>
      <c r="D12" s="127">
        <v>500</v>
      </c>
      <c r="E12" s="128">
        <v>400</v>
      </c>
      <c r="F12" s="129">
        <v>350</v>
      </c>
      <c r="G12" s="130">
        <v>0.5</v>
      </c>
      <c r="H12" s="131">
        <v>0.7</v>
      </c>
      <c r="I12" s="132">
        <v>0.8</v>
      </c>
    </row>
    <row r="13" spans="1:9" x14ac:dyDescent="0.2">
      <c r="A13" s="117">
        <v>5</v>
      </c>
      <c r="B13" s="126" t="s">
        <v>101</v>
      </c>
      <c r="C13" s="118"/>
      <c r="D13" s="127"/>
      <c r="E13" s="128"/>
      <c r="F13" s="129"/>
      <c r="G13" s="130"/>
      <c r="H13" s="131"/>
      <c r="I13" s="132"/>
    </row>
    <row r="14" spans="1:9" x14ac:dyDescent="0.2">
      <c r="A14" s="117"/>
      <c r="B14" s="126"/>
      <c r="C14" s="118" t="s">
        <v>98</v>
      </c>
      <c r="D14" s="127"/>
      <c r="E14" s="128"/>
      <c r="F14" s="129">
        <v>600</v>
      </c>
      <c r="G14" s="130"/>
      <c r="H14" s="131"/>
      <c r="I14" s="132">
        <v>1.7</v>
      </c>
    </row>
    <row r="15" spans="1:9" x14ac:dyDescent="0.2">
      <c r="A15" s="117"/>
      <c r="B15" s="126"/>
      <c r="C15" s="118" t="s">
        <v>99</v>
      </c>
      <c r="D15" s="127">
        <v>900</v>
      </c>
      <c r="E15" s="128">
        <v>800</v>
      </c>
      <c r="F15" s="129">
        <v>700</v>
      </c>
      <c r="G15" s="130">
        <v>1</v>
      </c>
      <c r="H15" s="131">
        <v>1.3</v>
      </c>
      <c r="I15" s="132">
        <v>1.7</v>
      </c>
    </row>
    <row r="16" spans="1:9" x14ac:dyDescent="0.2">
      <c r="A16" s="117">
        <v>6</v>
      </c>
      <c r="B16" s="126" t="s">
        <v>102</v>
      </c>
      <c r="C16" s="118"/>
      <c r="D16" s="127"/>
      <c r="E16" s="128">
        <v>300</v>
      </c>
      <c r="F16" s="129">
        <v>200</v>
      </c>
      <c r="G16" s="130"/>
      <c r="H16" s="131">
        <v>0</v>
      </c>
      <c r="I16" s="132">
        <v>0</v>
      </c>
    </row>
    <row r="17" spans="1:11" x14ac:dyDescent="0.2">
      <c r="A17" s="117">
        <v>7</v>
      </c>
      <c r="B17" s="126" t="s">
        <v>103</v>
      </c>
      <c r="C17" s="118"/>
      <c r="D17" s="127">
        <v>30</v>
      </c>
      <c r="E17" s="128"/>
      <c r="F17" s="129"/>
      <c r="G17" s="130">
        <v>0.5</v>
      </c>
      <c r="H17" s="131"/>
      <c r="I17" s="132"/>
    </row>
    <row r="18" spans="1:11" x14ac:dyDescent="0.2">
      <c r="A18" s="117">
        <v>8</v>
      </c>
      <c r="B18" s="126" t="s">
        <v>104</v>
      </c>
      <c r="C18" s="118"/>
      <c r="D18" s="127">
        <v>50</v>
      </c>
      <c r="E18" s="128"/>
      <c r="F18" s="129"/>
      <c r="G18" s="130">
        <v>0.8</v>
      </c>
      <c r="H18" s="131"/>
      <c r="I18" s="132"/>
    </row>
    <row r="19" spans="1:11" x14ac:dyDescent="0.2">
      <c r="A19" s="121">
        <v>9</v>
      </c>
      <c r="B19" s="122" t="s">
        <v>105</v>
      </c>
      <c r="C19" s="123"/>
      <c r="D19" s="135">
        <v>20</v>
      </c>
      <c r="E19" s="136"/>
      <c r="F19" s="137"/>
      <c r="G19" s="138">
        <v>0.3</v>
      </c>
      <c r="H19" s="139"/>
      <c r="I19" s="140"/>
    </row>
    <row r="22" spans="1:11" x14ac:dyDescent="0.2">
      <c r="A22" s="119"/>
      <c r="B22" s="126"/>
      <c r="C22" s="118"/>
      <c r="D22" s="112"/>
      <c r="E22" s="115" t="s">
        <v>106</v>
      </c>
      <c r="F22" s="113"/>
      <c r="G22" s="196" t="s">
        <v>0</v>
      </c>
      <c r="H22" s="197"/>
      <c r="I22" s="197"/>
      <c r="J22" s="197"/>
      <c r="K22" s="126"/>
    </row>
    <row r="23" spans="1:11" x14ac:dyDescent="0.2">
      <c r="A23" s="119"/>
      <c r="C23" s="118"/>
      <c r="D23" s="117" t="s">
        <v>87</v>
      </c>
      <c r="E23" s="119" t="s">
        <v>88</v>
      </c>
      <c r="F23" s="120" t="s">
        <v>89</v>
      </c>
      <c r="G23" s="119"/>
    </row>
    <row r="24" spans="1:11" x14ac:dyDescent="0.2">
      <c r="A24" s="124"/>
      <c r="B24" s="157" t="s">
        <v>86</v>
      </c>
      <c r="C24" s="123"/>
      <c r="D24" s="121" t="s">
        <v>90</v>
      </c>
      <c r="E24" s="119" t="s">
        <v>91</v>
      </c>
      <c r="F24" s="120" t="s">
        <v>92</v>
      </c>
    </row>
    <row r="25" spans="1:11" x14ac:dyDescent="0.2">
      <c r="A25" s="117">
        <v>1</v>
      </c>
      <c r="B25" s="126" t="s">
        <v>93</v>
      </c>
      <c r="C25" s="118"/>
      <c r="D25" s="127"/>
      <c r="E25" s="72"/>
      <c r="F25" s="72"/>
      <c r="G25" s="141" t="s">
        <v>108</v>
      </c>
      <c r="H25" s="142" t="s">
        <v>109</v>
      </c>
      <c r="I25" s="142" t="s">
        <v>110</v>
      </c>
    </row>
    <row r="26" spans="1:11" x14ac:dyDescent="0.2">
      <c r="A26" s="117">
        <v>2</v>
      </c>
      <c r="B26" s="126" t="s">
        <v>94</v>
      </c>
      <c r="C26" s="126"/>
      <c r="D26" s="72"/>
      <c r="E26" s="72"/>
      <c r="F26" s="72"/>
      <c r="G26" s="143"/>
      <c r="H26" s="124" t="s">
        <v>111</v>
      </c>
      <c r="I26" s="124" t="s">
        <v>112</v>
      </c>
    </row>
    <row r="27" spans="1:11" x14ac:dyDescent="0.2">
      <c r="A27" s="117">
        <v>3</v>
      </c>
      <c r="B27" s="126" t="s">
        <v>95</v>
      </c>
      <c r="C27" s="118"/>
      <c r="D27" s="127"/>
      <c r="E27" s="72"/>
      <c r="F27" s="72"/>
      <c r="G27" s="131"/>
      <c r="H27" s="144">
        <f>(D25*D4+D26*D5+D27*D6+D29*D8+D30*D9+D32*D11+D33*D12+D35*D14+D36*D15+D37*D16+D38*D17+D39*D18+D40*D19)/3600+
(E25*E4+E26*E5+E27*E6+E29*E8+E30*E9+E32*E11+E33*E12+E35*E14+E36*E15+E37*E16+E38*E17+E39*E18+E40*E19)/3600+
(F25*F4+F26*F5+F27*F6+F29*F8+F30*F9+F32*F11+F33*F12+F35*F14+F36*F15+F37*F16+F38*F17+F39*F18+F40*F19)/3600</f>
        <v>0</v>
      </c>
      <c r="I27" s="145">
        <f>D25*G4+D26*G5+D27*G6+D29*G8+D30*G9+D32*G11+D33*G12+D35*G14+D36*G15+D37*G16+D38*G17+D39*G18+D40*G19+
E25*H4+E26*H5+E27*H6+E29*H8+E30*H9+E32*H11+E33*H12+E35*H14+E36*H15+E37*H16+E38*H17+E39*H18+E40*H19+
F25*I4+F26*I5+F27*I6+F29*I8+F30*I9+F32*I11+F33*I12+F35*I14+F36*I15+F37*I16+F38*I17+F39*I18+F40*I19</f>
        <v>0</v>
      </c>
    </row>
    <row r="28" spans="1:11" x14ac:dyDescent="0.2">
      <c r="A28" s="117">
        <v>4</v>
      </c>
      <c r="B28" s="126" t="s">
        <v>96</v>
      </c>
      <c r="C28" s="118"/>
      <c r="D28" s="127"/>
      <c r="E28" s="128"/>
      <c r="F28" s="129"/>
      <c r="G28" s="131"/>
      <c r="H28" s="131"/>
      <c r="I28" s="131"/>
      <c r="J28" s="134"/>
    </row>
    <row r="29" spans="1:11" x14ac:dyDescent="0.2">
      <c r="A29" s="117"/>
      <c r="B29" s="126"/>
      <c r="C29" s="118" t="s">
        <v>98</v>
      </c>
      <c r="D29" s="127"/>
      <c r="E29" s="128"/>
      <c r="F29" s="72"/>
      <c r="G29" s="131"/>
      <c r="H29" s="146" t="s">
        <v>151</v>
      </c>
      <c r="I29" s="73"/>
      <c r="J29" s="116" t="s">
        <v>113</v>
      </c>
    </row>
    <row r="30" spans="1:11" x14ac:dyDescent="0.2">
      <c r="A30" s="117"/>
      <c r="B30" s="126"/>
      <c r="C30" s="126" t="s">
        <v>99</v>
      </c>
      <c r="D30" s="72"/>
      <c r="E30" s="72"/>
      <c r="F30" s="72"/>
      <c r="H30" s="146" t="s">
        <v>152</v>
      </c>
      <c r="I30" s="74"/>
      <c r="J30" s="116" t="s">
        <v>114</v>
      </c>
    </row>
    <row r="31" spans="1:11" x14ac:dyDescent="0.2">
      <c r="A31" s="117">
        <v>5</v>
      </c>
      <c r="B31" s="126" t="s">
        <v>100</v>
      </c>
      <c r="C31" s="118"/>
      <c r="D31" s="127"/>
      <c r="E31" s="128"/>
      <c r="F31" s="129"/>
      <c r="H31" s="147" t="s">
        <v>115</v>
      </c>
      <c r="I31" s="145">
        <f>I27*I29*I30/1000</f>
        <v>0</v>
      </c>
      <c r="J31" s="116" t="s">
        <v>107</v>
      </c>
    </row>
    <row r="32" spans="1:11" x14ac:dyDescent="0.2">
      <c r="A32" s="117"/>
      <c r="B32" s="126"/>
      <c r="C32" s="118" t="s">
        <v>98</v>
      </c>
      <c r="D32" s="127"/>
      <c r="E32" s="128"/>
      <c r="F32" s="72"/>
    </row>
    <row r="33" spans="1:10" x14ac:dyDescent="0.2">
      <c r="A33" s="117"/>
      <c r="B33" s="126"/>
      <c r="C33" s="126" t="s">
        <v>99</v>
      </c>
      <c r="D33" s="72"/>
      <c r="E33" s="72"/>
      <c r="F33" s="72"/>
    </row>
    <row r="34" spans="1:10" x14ac:dyDescent="0.2">
      <c r="A34" s="117">
        <v>5</v>
      </c>
      <c r="B34" s="126" t="s">
        <v>101</v>
      </c>
      <c r="C34" s="118"/>
      <c r="D34" s="127"/>
      <c r="E34" s="128"/>
      <c r="F34" s="129"/>
      <c r="G34" s="131"/>
    </row>
    <row r="35" spans="1:10" x14ac:dyDescent="0.2">
      <c r="A35" s="117"/>
      <c r="B35" s="126"/>
      <c r="C35" s="118" t="s">
        <v>98</v>
      </c>
      <c r="D35" s="127"/>
      <c r="E35" s="128"/>
      <c r="F35" s="72"/>
      <c r="G35" s="131"/>
      <c r="H35" s="131"/>
      <c r="I35" s="131"/>
    </row>
    <row r="36" spans="1:10" x14ac:dyDescent="0.2">
      <c r="A36" s="117"/>
      <c r="B36" s="126"/>
      <c r="C36" s="126" t="s">
        <v>99</v>
      </c>
      <c r="D36" s="72"/>
      <c r="E36" s="72"/>
      <c r="F36" s="72"/>
      <c r="G36" s="131"/>
      <c r="H36" s="131"/>
      <c r="I36" s="131"/>
    </row>
    <row r="37" spans="1:10" x14ac:dyDescent="0.2">
      <c r="A37" s="117">
        <v>6</v>
      </c>
      <c r="B37" s="126" t="s">
        <v>102</v>
      </c>
      <c r="C37" s="118"/>
      <c r="D37" s="127"/>
      <c r="E37" s="72"/>
      <c r="F37" s="72"/>
      <c r="G37" s="131"/>
      <c r="H37" s="131"/>
      <c r="I37" s="131"/>
    </row>
    <row r="38" spans="1:10" x14ac:dyDescent="0.2">
      <c r="A38" s="117">
        <v>7</v>
      </c>
      <c r="B38" s="126" t="s">
        <v>103</v>
      </c>
      <c r="C38" s="126"/>
      <c r="D38" s="72"/>
      <c r="E38" s="128"/>
      <c r="F38" s="129"/>
      <c r="G38" s="141" t="s">
        <v>116</v>
      </c>
      <c r="H38" s="143" t="s">
        <v>117</v>
      </c>
      <c r="I38" s="73"/>
      <c r="J38" s="116" t="s">
        <v>10</v>
      </c>
    </row>
    <row r="39" spans="1:10" x14ac:dyDescent="0.2">
      <c r="A39" s="117">
        <v>8</v>
      </c>
      <c r="B39" s="126" t="s">
        <v>104</v>
      </c>
      <c r="C39" s="126"/>
      <c r="D39" s="72"/>
      <c r="E39" s="128"/>
      <c r="F39" s="129"/>
      <c r="G39" s="131"/>
      <c r="H39" s="147" t="s">
        <v>118</v>
      </c>
      <c r="I39" s="73"/>
      <c r="J39" s="116" t="s">
        <v>10</v>
      </c>
    </row>
    <row r="40" spans="1:10" x14ac:dyDescent="0.2">
      <c r="A40" s="121">
        <v>9</v>
      </c>
      <c r="B40" s="122" t="s">
        <v>105</v>
      </c>
      <c r="C40" s="122"/>
      <c r="D40" s="72"/>
      <c r="E40" s="136"/>
      <c r="F40" s="137"/>
      <c r="G40" s="131"/>
      <c r="H40" s="148" t="s">
        <v>109</v>
      </c>
      <c r="I40" s="149">
        <f>(I38*1+I39*0.5)*0.013</f>
        <v>0</v>
      </c>
      <c r="J40" s="148" t="s">
        <v>111</v>
      </c>
    </row>
    <row r="41" spans="1:10" x14ac:dyDescent="0.2">
      <c r="E41" s="6" t="s">
        <v>38</v>
      </c>
    </row>
  </sheetData>
  <sheetProtection password="DE4D" sheet="1" objects="1" scenarios="1"/>
  <mergeCells count="2">
    <mergeCell ref="G22:J22"/>
    <mergeCell ref="A1:C1"/>
  </mergeCells>
  <phoneticPr fontId="12" type="noConversion"/>
  <printOptions horizontalCentered="1"/>
  <pageMargins left="0.19685039370078741" right="0.19685039370078741" top="0.59055118110236227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Qr</vt:lpstr>
      <vt:lpstr>BOA-KOA</vt:lpstr>
      <vt:lpstr>LOA</vt:lpstr>
      <vt:lpstr>SNV 75;10</vt:lpstr>
      <vt:lpstr>'BOA-KOA'!Utskriftsområde</vt:lpstr>
      <vt:lpstr>LOA!Utskriftsområde</vt:lpstr>
      <vt:lpstr>Qr!Utskriftsområde</vt:lpstr>
      <vt:lpstr>'SNV 75;10'!Utskriftsområde</vt:lpstr>
    </vt:vector>
  </TitlesOfParts>
  <Company>ALFARÖR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Molander</dc:creator>
  <cp:lastModifiedBy>Molander Fredrik</cp:lastModifiedBy>
  <cp:lastPrinted>2016-03-23T15:11:17Z</cp:lastPrinted>
  <dcterms:created xsi:type="dcterms:W3CDTF">2007-01-18T07:15:19Z</dcterms:created>
  <dcterms:modified xsi:type="dcterms:W3CDTF">2021-12-14T10:55:31Z</dcterms:modified>
</cp:coreProperties>
</file>